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riane\Downloads\"/>
    </mc:Choice>
  </mc:AlternateContent>
  <xr:revisionPtr revIDLastSave="0" documentId="13_ncr:1_{43BEA902-6A5D-4506-A2C2-A423C531A8D4}" xr6:coauthVersionLast="47" xr6:coauthVersionMax="47" xr10:uidLastSave="{00000000-0000-0000-0000-000000000000}"/>
  <bookViews>
    <workbookView xWindow="-120" yWindow="-120" windowWidth="29040" windowHeight="15720" xr2:uid="{217AB85E-35D3-4CF1-856B-98804D6F1268}"/>
  </bookViews>
  <sheets>
    <sheet name="Obras em andamento" sheetId="1" r:id="rId1"/>
    <sheet name="Proposta Marenge - S.P Aldeia" sheetId="13" r:id="rId2"/>
    <sheet name="1ª Medição - Marenge" sheetId="17" r:id="rId3"/>
  </sheets>
  <externalReferences>
    <externalReference r:id="rId4"/>
    <externalReference r:id="rId5"/>
    <externalReference r:id="rId6"/>
    <externalReference r:id="rId7"/>
  </externalReferences>
  <definedNames>
    <definedName name="\0" localSheetId="2">'[2]#ref'!#REF!</definedName>
    <definedName name="\0">'[2]#ref'!#REF!</definedName>
    <definedName name="\a" localSheetId="2">'[2]#ref'!#REF!</definedName>
    <definedName name="\a">'[2]#ref'!#REF!</definedName>
    <definedName name="_est1" localSheetId="2">'[2]#ref'!#REF!</definedName>
    <definedName name="_est1">'[2]#ref'!#REF!</definedName>
    <definedName name="_xlnm.Database">'[2]#ref'!$A$2:$C$9469</definedName>
    <definedName name="Barracão_de_obra_executado_com_paredes_de_chapas_de_madeira_compensada__plastificada__lisa__de_colagem_fenólica__à_prova_d_água__de_2_44_x_1_22m_e_9mm_de_espessura_e_piso_e_estrutura_de_pinho_de_3____sendo_a_cobertura_de_telhas_onduladas_de_cimento_amiant">'[3]Especificações Técnicas TRAV.'!$C$16</definedName>
    <definedName name="C_" localSheetId="2">'[2]#ref'!#REF!</definedName>
    <definedName name="C_">'[2]#ref'!#REF!</definedName>
    <definedName name="CODIGO" localSheetId="2">#REF!</definedName>
    <definedName name="CODIGO">#REF!</definedName>
    <definedName name="EMOP0118" localSheetId="2">#REF!</definedName>
    <definedName name="EMOP0118">#REF!</definedName>
    <definedName name="EMOP0409" localSheetId="2">#REF!</definedName>
    <definedName name="EMOP0409">#REF!</definedName>
    <definedName name="EMOP1208">[4]Emop1208!$A$2:$B$8013</definedName>
    <definedName name="Excel_BuiltIn__FilterDatabase_1_1_1" localSheetId="2">#REF!</definedName>
    <definedName name="Excel_BuiltIn__FilterDatabase_1_1_1">#REF!</definedName>
    <definedName name="Excel_BuiltIn__FilterDatabase_2_1" localSheetId="2">#REF!</definedName>
    <definedName name="Excel_BuiltIn__FilterDatabase_2_1">#REF!</definedName>
    <definedName name="Excel_BuiltIn__FilterDatabase_3" localSheetId="2">#REF!</definedName>
    <definedName name="Excel_BuiltIn__FilterDatabase_3">#REF!</definedName>
    <definedName name="Excel_BuiltIn_Database" localSheetId="2">#REF!</definedName>
    <definedName name="Excel_BuiltIn_Database">#REF!</definedName>
    <definedName name="Excel_BuiltIn_Database_2" localSheetId="2">#REF!</definedName>
    <definedName name="Excel_BuiltIn_Database_2">#REF!</definedName>
    <definedName name="Excel_BuiltIn_Database_3" localSheetId="2">#REF!</definedName>
    <definedName name="Excel_BuiltIn_Database_3">#REF!</definedName>
    <definedName name="Excel_BuiltIn_FilterDatabase_4" localSheetId="2">#REF!</definedName>
    <definedName name="Excel_BuiltIn_FilterDatabase_4">#REF!</definedName>
    <definedName name="Excel_BuiltIn_Print_Area_2_1" localSheetId="2">#REF!</definedName>
    <definedName name="Excel_BuiltIn_Print_Area_2_1">#REF!</definedName>
    <definedName name="Excel_BuiltIn_Print_Area_3_1" localSheetId="2">#REF!</definedName>
    <definedName name="Excel_BuiltIn_Print_Area_3_1">#REF!</definedName>
    <definedName name="N_FRIBURGO_SANIT" localSheetId="2">#REF!</definedName>
    <definedName name="N_FRIBURGO_SANIT">#REF!</definedName>
    <definedName name="NOVAFRIBURGO" localSheetId="2">#REF!</definedName>
    <definedName name="NOVAFRIBURGO">#REF!</definedName>
    <definedName name="TABELAEMOP" localSheetId="2">#REF!</definedName>
    <definedName name="TABELAEMOP">#REF!</definedName>
    <definedName name="_xlnm.Print_Titles" localSheetId="2">'1ª Medição - Marenge'!$2:$9</definedName>
    <definedName name="TOTAL1">'[2]#ref'!$H$96</definedName>
    <definedName name="TOTAL10" localSheetId="2">'[2]#ref'!#REF!</definedName>
    <definedName name="TOTAL10">'[2]#ref'!#REF!</definedName>
    <definedName name="TOTAL11" localSheetId="2">'[2]#ref'!#REF!</definedName>
    <definedName name="TOTAL11">'[2]#ref'!#REF!</definedName>
    <definedName name="TOTAL12" localSheetId="2">'[2]#ref'!#REF!</definedName>
    <definedName name="TOTAL12">'[2]#ref'!#REF!</definedName>
    <definedName name="TOTAL13" localSheetId="2">'[2]#ref'!#REF!</definedName>
    <definedName name="TOTAL13">'[2]#ref'!#REF!</definedName>
    <definedName name="TOTAL14" localSheetId="2">'[2]#ref'!#REF!</definedName>
    <definedName name="TOTAL14">'[2]#ref'!#REF!</definedName>
    <definedName name="TOTAL15" localSheetId="2">'[2]#ref'!#REF!</definedName>
    <definedName name="TOTAL15">'[2]#ref'!#REF!</definedName>
    <definedName name="TOTAL16" localSheetId="2">'[2]#ref'!#REF!</definedName>
    <definedName name="TOTAL16">'[2]#ref'!#REF!</definedName>
    <definedName name="TOTAL17" localSheetId="2">'[2]#ref'!#REF!</definedName>
    <definedName name="TOTAL17">'[2]#ref'!#REF!</definedName>
    <definedName name="TOTAL18" localSheetId="2">'[2]#ref'!#REF!</definedName>
    <definedName name="TOTAL18">'[2]#ref'!#REF!</definedName>
    <definedName name="TOTAL19" localSheetId="2">'[2]#ref'!#REF!</definedName>
    <definedName name="TOTAL19">'[2]#ref'!#REF!</definedName>
    <definedName name="TOTAL1A">'[2]#ref'!$H$21</definedName>
    <definedName name="TOTAL1C">'[2]#ref'!$H$58</definedName>
    <definedName name="TOTAL2">'[2]#ref'!$K$96</definedName>
    <definedName name="TOTAL2A">'[2]#ref'!$K$21</definedName>
    <definedName name="TOTAL3">'[2]#ref'!$O$96</definedName>
    <definedName name="TOTAL3A">'[2]#ref'!$O$21</definedName>
    <definedName name="TOTAL4">'[2]#ref'!$U$96</definedName>
    <definedName name="TOTAL4A">'[2]#ref'!$U$21</definedName>
    <definedName name="TOTAL5">'[2]#ref'!$Y$96</definedName>
    <definedName name="TOTAL5A">'[2]#ref'!$Y$21</definedName>
    <definedName name="TOTAL6" localSheetId="2">'[2]#ref'!#REF!</definedName>
    <definedName name="TOTAL6">'[2]#ref'!#REF!</definedName>
    <definedName name="TOTAL6A" localSheetId="2">'[2]#ref'!#REF!</definedName>
    <definedName name="TOTAL6A">'[2]#ref'!#REF!</definedName>
    <definedName name="TOTAL7" localSheetId="2">'[2]#ref'!#REF!</definedName>
    <definedName name="TOTAL7">'[2]#ref'!#REF!</definedName>
    <definedName name="TOTAL7A" localSheetId="2">'[2]#ref'!#REF!</definedName>
    <definedName name="TOTAL7A">'[2]#ref'!#REF!</definedName>
    <definedName name="TOTAL7B" localSheetId="2">'[2]#ref'!#REF!</definedName>
    <definedName name="TOTAL7B">'[2]#ref'!#REF!</definedName>
    <definedName name="TOTAL7C" localSheetId="2">'[2]#ref'!#REF!</definedName>
    <definedName name="TOTAL7C">'[2]#ref'!#REF!</definedName>
    <definedName name="TOTAL7D" localSheetId="2">'[2]#ref'!#REF!</definedName>
    <definedName name="TOTAL7D">'[2]#ref'!#REF!</definedName>
    <definedName name="TOTAL7E" localSheetId="2">'[2]#ref'!#REF!</definedName>
    <definedName name="TOTAL7E">'[2]#ref'!#REF!</definedName>
    <definedName name="TOTAL7F" localSheetId="2">'[2]#ref'!#REF!</definedName>
    <definedName name="TOTAL7F">'[2]#ref'!#REF!</definedName>
    <definedName name="TOTAL7G" localSheetId="2">'[2]#ref'!#REF!</definedName>
    <definedName name="TOTAL7G">'[2]#ref'!#REF!</definedName>
    <definedName name="TOTAL7H" localSheetId="2">'[2]#ref'!#REF!</definedName>
    <definedName name="TOTAL7H">'[2]#ref'!#REF!</definedName>
    <definedName name="TOTAL7I" localSheetId="2">'[2]#ref'!#REF!</definedName>
    <definedName name="TOTAL7I">'[2]#ref'!#REF!</definedName>
    <definedName name="TOTAL7J" localSheetId="2">'[2]#ref'!#REF!</definedName>
    <definedName name="TOTAL7J">'[2]#ref'!#REF!</definedName>
    <definedName name="TOTAL7K" localSheetId="2">'[2]#ref'!#REF!</definedName>
    <definedName name="TOTAL7K">'[2]#ref'!#REF!</definedName>
    <definedName name="TOTAL7L" localSheetId="2">'[2]#ref'!#REF!</definedName>
    <definedName name="TOTAL7L">'[2]#ref'!#REF!</definedName>
    <definedName name="TOTAL7O" localSheetId="2">'[2]#ref'!#REF!</definedName>
    <definedName name="TOTAL7O">'[2]#ref'!#REF!</definedName>
    <definedName name="TOTAL7P" localSheetId="2">'[2]#ref'!#REF!</definedName>
    <definedName name="TOTAL7P">'[2]#ref'!#REF!</definedName>
    <definedName name="TOTAL7Q" localSheetId="2">'[2]#ref'!#REF!</definedName>
    <definedName name="TOTAL7Q">'[2]#ref'!#REF!</definedName>
    <definedName name="TOTAL7R" localSheetId="2">'[2]#ref'!#REF!</definedName>
    <definedName name="TOTAL7R">'[2]#ref'!#REF!</definedName>
    <definedName name="TOTAL8" localSheetId="2">'[2]#ref'!#REF!</definedName>
    <definedName name="TOTAL8">'[2]#ref'!#REF!</definedName>
    <definedName name="TOTAL8A" localSheetId="2">'[2]#ref'!#REF!</definedName>
    <definedName name="TOTAL8A">'[2]#ref'!#REF!</definedName>
    <definedName name="TOTAL8B" localSheetId="2">'[2]#ref'!#REF!</definedName>
    <definedName name="TOTAL8B">'[2]#ref'!#REF!</definedName>
    <definedName name="TOTAL8C" localSheetId="2">'[2]#ref'!#REF!</definedName>
    <definedName name="TOTAL8C">'[2]#ref'!#REF!</definedName>
    <definedName name="TOTAL8D" localSheetId="2">'[2]#ref'!#REF!</definedName>
    <definedName name="TOTAL8D">'[2]#ref'!#REF!</definedName>
    <definedName name="TOTAL8E" localSheetId="2">'[2]#ref'!#REF!</definedName>
    <definedName name="TOTAL8E">'[2]#ref'!#REF!</definedName>
    <definedName name="TOTAL8F" localSheetId="2">'[2]#ref'!#REF!</definedName>
    <definedName name="TOTAL8F">'[2]#ref'!#REF!</definedName>
    <definedName name="TOTAL8G" localSheetId="2">'[2]#ref'!#REF!</definedName>
    <definedName name="TOTAL8G">'[2]#ref'!#REF!</definedName>
    <definedName name="TOTAL8H" localSheetId="2">'[2]#ref'!#REF!</definedName>
    <definedName name="TOTAL8H">'[2]#ref'!#REF!</definedName>
    <definedName name="TOTAL8I" localSheetId="2">'[2]#ref'!#REF!</definedName>
    <definedName name="TOTAL8I">'[2]#ref'!#REF!</definedName>
    <definedName name="TOTAL8J" localSheetId="2">'[2]#ref'!#REF!</definedName>
    <definedName name="TOTAL8J">'[2]#ref'!#REF!</definedName>
    <definedName name="TOTAL8K" localSheetId="2">'[2]#ref'!#REF!</definedName>
    <definedName name="TOTAL8K">'[2]#ref'!#REF!</definedName>
    <definedName name="TOTAL8L" localSheetId="2">'[2]#ref'!#REF!</definedName>
    <definedName name="TOTAL8L">'[2]#ref'!#REF!</definedName>
    <definedName name="TOTAL8O" localSheetId="2">'[2]#ref'!#REF!</definedName>
    <definedName name="TOTAL8O">'[2]#ref'!#REF!</definedName>
    <definedName name="TOTAL8P" localSheetId="2">'[2]#ref'!#REF!</definedName>
    <definedName name="TOTAL8P">'[2]#ref'!#REF!</definedName>
    <definedName name="TOTAL8Q" localSheetId="2">'[2]#ref'!#REF!</definedName>
    <definedName name="TOTAL8Q">'[2]#ref'!#REF!</definedName>
    <definedName name="TOTAL8R" localSheetId="2">'[2]#ref'!#REF!</definedName>
    <definedName name="TOTAL8R">'[2]#ref'!#REF!</definedName>
    <definedName name="TOTAL9" localSheetId="2">'[2]#ref'!#REF!</definedName>
    <definedName name="TOTAL9">'[2]#ref'!#REF!</definedName>
    <definedName name="TOTALA" localSheetId="2">'[2]planilha atualizada'!#REF!</definedName>
    <definedName name="TOTALA">'[2]planilha atualizada'!#REF!</definedName>
    <definedName name="TOTALB" localSheetId="2">'[2]planilha atualizada'!#REF!</definedName>
    <definedName name="TOTALB">'[2]planilha atualizada'!#REF!</definedName>
    <definedName name="TOTALC" localSheetId="2">'[2]planilha atualizada'!#REF!</definedName>
    <definedName name="TOTALC">'[2]planilha atualizada'!#REF!</definedName>
    <definedName name="TOTALD" localSheetId="2">'[2]planilha atualizada'!#REF!</definedName>
    <definedName name="TOTALD">'[2]planilha atualizada'!#REF!</definedName>
    <definedName name="TOTALE" localSheetId="2">'[2]planilha atualizada'!#REF!</definedName>
    <definedName name="TOTALE">'[2]planilha atualizada'!#REF!</definedName>
    <definedName name="TOTALF" localSheetId="2">'[2]planilha atualizada'!#REF!</definedName>
    <definedName name="TOTALF">'[2]planilha atualizada'!#REF!</definedName>
    <definedName name="TOTALG" localSheetId="2">'[2]planilha atualizada'!#REF!</definedName>
    <definedName name="TOTALG">'[2]planilha atualizada'!#REF!</definedName>
    <definedName name="TOTALH" localSheetId="2">'[2]planilha atualizada'!#REF!</definedName>
    <definedName name="TOTALH">'[2]planilha atualizada'!#REF!</definedName>
    <definedName name="TOTALI" localSheetId="2">'[2]planilha atualizada'!#REF!</definedName>
    <definedName name="TOTALI">'[2]planilha atualizada'!#REF!</definedName>
    <definedName name="TOTALJ" localSheetId="2">'[2]planilha atualizada'!#REF!</definedName>
    <definedName name="TOTALJ">'[2]planilha atualizada'!#REF!</definedName>
    <definedName name="TOTALK" localSheetId="2">'[2]planilha atualizada'!#REF!</definedName>
    <definedName name="TOTALK">'[2]planilha atualizada'!#REF!</definedName>
    <definedName name="TOTALL" localSheetId="2">'[2]planilha atualizada'!#REF!</definedName>
    <definedName name="TOTALL">'[2]planilha atualizada'!#REF!</definedName>
    <definedName name="TOTALO" localSheetId="2">'[2]planilha atualizada'!#REF!</definedName>
    <definedName name="TOTALO">'[2]planilha atualizada'!#REF!</definedName>
    <definedName name="TOTALP" localSheetId="2">'[2]planilha atualizada'!#REF!</definedName>
    <definedName name="TOTALP">'[2]planilha atualizada'!#REF!</definedName>
    <definedName name="TOTALQ" localSheetId="2">'[2]planilha atualizada'!#REF!</definedName>
    <definedName name="TOTALQ">'[2]planilha atualizada'!#REF!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7" l="1"/>
  <c r="W6" i="17"/>
  <c r="J10" i="17"/>
  <c r="K10" i="17"/>
  <c r="L10" i="17"/>
  <c r="M10" i="17"/>
  <c r="T10" i="17"/>
  <c r="U10" i="17"/>
  <c r="W10" i="17"/>
  <c r="X10" i="17"/>
  <c r="Z10" i="17"/>
  <c r="AA10" i="17"/>
  <c r="J11" i="17"/>
  <c r="K11" i="17"/>
  <c r="L11" i="17"/>
  <c r="N10" i="17" s="1"/>
  <c r="M11" i="17"/>
  <c r="T11" i="17"/>
  <c r="U11" i="17"/>
  <c r="V10" i="17" s="1"/>
  <c r="W11" i="17"/>
  <c r="X11" i="17"/>
  <c r="Y10" i="17" s="1"/>
  <c r="Z11" i="17"/>
  <c r="AA11" i="17"/>
  <c r="AB10" i="17" s="1"/>
  <c r="J12" i="17"/>
  <c r="K12" i="17"/>
  <c r="L12" i="17"/>
  <c r="M12" i="17"/>
  <c r="T12" i="17"/>
  <c r="U12" i="17"/>
  <c r="W12" i="17"/>
  <c r="X12" i="17"/>
  <c r="Z12" i="17"/>
  <c r="AA12" i="17"/>
  <c r="J13" i="17"/>
  <c r="K13" i="17"/>
  <c r="L13" i="17"/>
  <c r="M13" i="17"/>
  <c r="U13" i="17"/>
  <c r="W13" i="17"/>
  <c r="X13" i="17"/>
  <c r="Z13" i="17"/>
  <c r="AA13" i="17"/>
  <c r="J14" i="17"/>
  <c r="K14" i="17"/>
  <c r="L14" i="17"/>
  <c r="N13" i="17" s="1"/>
  <c r="O13" i="17" s="1"/>
  <c r="M14" i="17"/>
  <c r="U14" i="17"/>
  <c r="W14" i="17"/>
  <c r="X14" i="17"/>
  <c r="Z14" i="17"/>
  <c r="AA14" i="17"/>
  <c r="J15" i="17"/>
  <c r="K15" i="17"/>
  <c r="L15" i="17"/>
  <c r="M15" i="17"/>
  <c r="U15" i="17"/>
  <c r="W15" i="17"/>
  <c r="X15" i="17"/>
  <c r="Z15" i="17"/>
  <c r="AA15" i="17"/>
  <c r="J16" i="17"/>
  <c r="K16" i="17"/>
  <c r="L16" i="17"/>
  <c r="N15" i="17" s="1"/>
  <c r="O15" i="17" s="1"/>
  <c r="M16" i="17"/>
  <c r="U16" i="17"/>
  <c r="V15" i="17" s="1"/>
  <c r="W16" i="17"/>
  <c r="X16" i="17"/>
  <c r="Y15" i="17" s="1"/>
  <c r="Z16" i="17"/>
  <c r="AA16" i="17"/>
  <c r="AB15" i="17" s="1"/>
  <c r="J17" i="17"/>
  <c r="K17" i="17"/>
  <c r="L17" i="17"/>
  <c r="M17" i="17"/>
  <c r="U17" i="17"/>
  <c r="W17" i="17"/>
  <c r="X17" i="17"/>
  <c r="Z17" i="17"/>
  <c r="AA17" i="17"/>
  <c r="K18" i="17"/>
  <c r="L18" i="17"/>
  <c r="M18" i="17"/>
  <c r="U18" i="17"/>
  <c r="W18" i="17"/>
  <c r="X18" i="17"/>
  <c r="Z18" i="17"/>
  <c r="AA18" i="17"/>
  <c r="J19" i="17"/>
  <c r="K19" i="17"/>
  <c r="L19" i="17"/>
  <c r="N18" i="17" s="1"/>
  <c r="O18" i="17" s="1"/>
  <c r="M19" i="17"/>
  <c r="U19" i="17"/>
  <c r="W19" i="17"/>
  <c r="X19" i="17"/>
  <c r="Z19" i="17"/>
  <c r="AA19" i="17"/>
  <c r="J20" i="17"/>
  <c r="K20" i="17"/>
  <c r="L20" i="17"/>
  <c r="M20" i="17"/>
  <c r="T20" i="17"/>
  <c r="U20" i="17"/>
  <c r="W20" i="17"/>
  <c r="X20" i="17"/>
  <c r="Z20" i="17"/>
  <c r="AA20" i="17"/>
  <c r="J21" i="17"/>
  <c r="K21" i="17"/>
  <c r="L21" i="17"/>
  <c r="N20" i="17" s="1"/>
  <c r="O20" i="17" s="1"/>
  <c r="M21" i="17"/>
  <c r="T21" i="17"/>
  <c r="U21" i="17"/>
  <c r="V20" i="17" s="1"/>
  <c r="W21" i="17"/>
  <c r="X21" i="17"/>
  <c r="Y20" i="17" s="1"/>
  <c r="Z21" i="17"/>
  <c r="AA21" i="17"/>
  <c r="AB20" i="17" s="1"/>
  <c r="J22" i="17"/>
  <c r="K22" i="17"/>
  <c r="L22" i="17"/>
  <c r="M22" i="17"/>
  <c r="T22" i="17"/>
  <c r="U22" i="17"/>
  <c r="W22" i="17"/>
  <c r="X22" i="17"/>
  <c r="Z22" i="17"/>
  <c r="AA22" i="17"/>
  <c r="J23" i="17"/>
  <c r="K23" i="17"/>
  <c r="L23" i="17"/>
  <c r="M23" i="17"/>
  <c r="T23" i="17"/>
  <c r="U23" i="17"/>
  <c r="W23" i="17"/>
  <c r="X23" i="17"/>
  <c r="Z23" i="17"/>
  <c r="AA23" i="17"/>
  <c r="J24" i="17"/>
  <c r="K24" i="17"/>
  <c r="L24" i="17"/>
  <c r="M24" i="17"/>
  <c r="T24" i="17"/>
  <c r="U24" i="17"/>
  <c r="W24" i="17"/>
  <c r="X24" i="17"/>
  <c r="Z24" i="17"/>
  <c r="AA24" i="17"/>
  <c r="J25" i="17"/>
  <c r="K25" i="17"/>
  <c r="L25" i="17"/>
  <c r="M25" i="17"/>
  <c r="T25" i="17"/>
  <c r="U25" i="17"/>
  <c r="W25" i="17"/>
  <c r="X25" i="17"/>
  <c r="Z25" i="17"/>
  <c r="AA25" i="17"/>
  <c r="J26" i="17"/>
  <c r="K26" i="17"/>
  <c r="L26" i="17"/>
  <c r="N25" i="17" s="1"/>
  <c r="O25" i="17" s="1"/>
  <c r="M26" i="17"/>
  <c r="T26" i="17"/>
  <c r="U26" i="17"/>
  <c r="V25" i="17" s="1"/>
  <c r="W26" i="17"/>
  <c r="X26" i="17"/>
  <c r="Y25" i="17" s="1"/>
  <c r="Z26" i="17"/>
  <c r="AA26" i="17"/>
  <c r="AB25" i="17" s="1"/>
  <c r="J27" i="17"/>
  <c r="K27" i="17"/>
  <c r="L27" i="17"/>
  <c r="M27" i="17"/>
  <c r="T27" i="17"/>
  <c r="U27" i="17"/>
  <c r="W27" i="17"/>
  <c r="X27" i="17"/>
  <c r="Z27" i="17"/>
  <c r="AA27" i="17"/>
  <c r="J28" i="17"/>
  <c r="K28" i="17"/>
  <c r="L28" i="17"/>
  <c r="M28" i="17"/>
  <c r="T28" i="17"/>
  <c r="U28" i="17"/>
  <c r="W28" i="17"/>
  <c r="X28" i="17"/>
  <c r="Z28" i="17"/>
  <c r="AA28" i="17"/>
  <c r="K29" i="17"/>
  <c r="L29" i="17"/>
  <c r="M29" i="17"/>
  <c r="U29" i="17"/>
  <c r="W29" i="17"/>
  <c r="X29" i="17"/>
  <c r="Z29" i="17"/>
  <c r="AA29" i="17"/>
  <c r="K30" i="17"/>
  <c r="L30" i="17"/>
  <c r="N29" i="17" s="1"/>
  <c r="O29" i="17" s="1"/>
  <c r="M30" i="17"/>
  <c r="U30" i="17"/>
  <c r="V29" i="17" s="1"/>
  <c r="W30" i="17"/>
  <c r="X30" i="17"/>
  <c r="Y29" i="17" s="1"/>
  <c r="Z30" i="17"/>
  <c r="AA30" i="17"/>
  <c r="AB29" i="17" s="1"/>
  <c r="K31" i="17"/>
  <c r="L31" i="17"/>
  <c r="M31" i="17"/>
  <c r="U31" i="17"/>
  <c r="W31" i="17"/>
  <c r="X31" i="17"/>
  <c r="Z31" i="17"/>
  <c r="AA31" i="17"/>
  <c r="J32" i="17"/>
  <c r="K32" i="17"/>
  <c r="L32" i="17"/>
  <c r="M32" i="17"/>
  <c r="U32" i="17"/>
  <c r="W32" i="17"/>
  <c r="X32" i="17"/>
  <c r="Z32" i="17"/>
  <c r="AA32" i="17"/>
  <c r="J33" i="17"/>
  <c r="K33" i="17"/>
  <c r="L33" i="17"/>
  <c r="M33" i="17"/>
  <c r="U33" i="17"/>
  <c r="W33" i="17"/>
  <c r="X33" i="17"/>
  <c r="Z33" i="17"/>
  <c r="AA33" i="17"/>
  <c r="J34" i="17"/>
  <c r="K34" i="17"/>
  <c r="L34" i="17"/>
  <c r="N33" i="17" s="1"/>
  <c r="O33" i="17" s="1"/>
  <c r="M34" i="17"/>
  <c r="U34" i="17"/>
  <c r="V33" i="17" s="1"/>
  <c r="W34" i="17"/>
  <c r="X34" i="17"/>
  <c r="Y33" i="17" s="1"/>
  <c r="Z34" i="17"/>
  <c r="AA34" i="17"/>
  <c r="AB33" i="17" s="1"/>
  <c r="J35" i="17"/>
  <c r="K35" i="17"/>
  <c r="L35" i="17"/>
  <c r="M35" i="17"/>
  <c r="U35" i="17"/>
  <c r="W35" i="17"/>
  <c r="X35" i="17"/>
  <c r="Z35" i="17"/>
  <c r="AA35" i="17"/>
  <c r="J36" i="17"/>
  <c r="K36" i="17"/>
  <c r="L36" i="17"/>
  <c r="M36" i="17"/>
  <c r="U36" i="17"/>
  <c r="W36" i="17"/>
  <c r="X36" i="17"/>
  <c r="Z36" i="17"/>
  <c r="AA36" i="17"/>
  <c r="J37" i="17"/>
  <c r="K37" i="17"/>
  <c r="L37" i="17"/>
  <c r="M37" i="17"/>
  <c r="U37" i="17"/>
  <c r="W37" i="17"/>
  <c r="X37" i="17"/>
  <c r="Z37" i="17"/>
  <c r="AA37" i="17"/>
  <c r="J38" i="17"/>
  <c r="K38" i="17"/>
  <c r="L38" i="17"/>
  <c r="N37" i="17" s="1"/>
  <c r="O37" i="17" s="1"/>
  <c r="M38" i="17"/>
  <c r="U38" i="17"/>
  <c r="V37" i="17" s="1"/>
  <c r="W38" i="17"/>
  <c r="X38" i="17"/>
  <c r="Y37" i="17" s="1"/>
  <c r="Z38" i="17"/>
  <c r="AA38" i="17"/>
  <c r="AB37" i="17" s="1"/>
  <c r="J39" i="17"/>
  <c r="K39" i="17"/>
  <c r="L39" i="17"/>
  <c r="M39" i="17"/>
  <c r="U39" i="17"/>
  <c r="W39" i="17"/>
  <c r="X39" i="17"/>
  <c r="Z39" i="17"/>
  <c r="AA39" i="17"/>
  <c r="J40" i="17"/>
  <c r="K40" i="17"/>
  <c r="L40" i="17"/>
  <c r="M40" i="17"/>
  <c r="U40" i="17"/>
  <c r="W40" i="17"/>
  <c r="X40" i="17"/>
  <c r="Z40" i="17"/>
  <c r="AA40" i="17"/>
  <c r="J41" i="17"/>
  <c r="K41" i="17"/>
  <c r="L41" i="17"/>
  <c r="M41" i="17"/>
  <c r="U41" i="17"/>
  <c r="W41" i="17"/>
  <c r="X41" i="17"/>
  <c r="Z41" i="17"/>
  <c r="AA41" i="17"/>
  <c r="J42" i="17"/>
  <c r="K42" i="17"/>
  <c r="L42" i="17"/>
  <c r="M42" i="17"/>
  <c r="U42" i="17"/>
  <c r="W42" i="17"/>
  <c r="X42" i="17"/>
  <c r="Z42" i="17"/>
  <c r="AA42" i="17"/>
  <c r="J43" i="17"/>
  <c r="K43" i="17"/>
  <c r="L43" i="17"/>
  <c r="M43" i="17"/>
  <c r="U43" i="17"/>
  <c r="W43" i="17"/>
  <c r="X43" i="17"/>
  <c r="Z43" i="17"/>
  <c r="AA43" i="17"/>
  <c r="J44" i="17"/>
  <c r="K44" i="17"/>
  <c r="L44" i="17"/>
  <c r="M44" i="17"/>
  <c r="U44" i="17"/>
  <c r="W44" i="17"/>
  <c r="X44" i="17"/>
  <c r="Z44" i="17"/>
  <c r="AA44" i="17"/>
  <c r="J45" i="17"/>
  <c r="K45" i="17"/>
  <c r="L45" i="17"/>
  <c r="N44" i="17" s="1"/>
  <c r="O44" i="17" s="1"/>
  <c r="M45" i="17"/>
  <c r="U45" i="17"/>
  <c r="V44" i="17" s="1"/>
  <c r="W45" i="17"/>
  <c r="X45" i="17"/>
  <c r="Y44" i="17" s="1"/>
  <c r="Z45" i="17"/>
  <c r="AA45" i="17"/>
  <c r="AB44" i="17" s="1"/>
  <c r="J46" i="17"/>
  <c r="K46" i="17"/>
  <c r="L46" i="17"/>
  <c r="M46" i="17"/>
  <c r="U46" i="17"/>
  <c r="W46" i="17"/>
  <c r="X46" i="17"/>
  <c r="Z46" i="17"/>
  <c r="AA46" i="17"/>
  <c r="J47" i="17"/>
  <c r="K47" i="17"/>
  <c r="L47" i="17"/>
  <c r="M47" i="17"/>
  <c r="U47" i="17"/>
  <c r="W47" i="17"/>
  <c r="X47" i="17"/>
  <c r="Z47" i="17"/>
  <c r="AA47" i="17"/>
  <c r="J48" i="17"/>
  <c r="K48" i="17"/>
  <c r="L48" i="17"/>
  <c r="M48" i="17"/>
  <c r="U48" i="17"/>
  <c r="W48" i="17"/>
  <c r="X48" i="17"/>
  <c r="Z48" i="17"/>
  <c r="AA48" i="17"/>
  <c r="J49" i="17"/>
  <c r="K49" i="17"/>
  <c r="L49" i="17"/>
  <c r="M49" i="17"/>
  <c r="U49" i="17"/>
  <c r="W49" i="17"/>
  <c r="X49" i="17"/>
  <c r="Z49" i="17"/>
  <c r="AA49" i="17"/>
  <c r="J50" i="17"/>
  <c r="K50" i="17"/>
  <c r="L50" i="17"/>
  <c r="M50" i="17"/>
  <c r="U50" i="17"/>
  <c r="W50" i="17"/>
  <c r="X50" i="17"/>
  <c r="Z50" i="17"/>
  <c r="AA50" i="17"/>
  <c r="J51" i="17"/>
  <c r="K51" i="17"/>
  <c r="L51" i="17"/>
  <c r="M51" i="17"/>
  <c r="U51" i="17"/>
  <c r="W51" i="17"/>
  <c r="X51" i="17"/>
  <c r="Z51" i="17"/>
  <c r="AA51" i="17"/>
  <c r="J52" i="17"/>
  <c r="K52" i="17"/>
  <c r="L52" i="17"/>
  <c r="N51" i="17" s="1"/>
  <c r="O51" i="17" s="1"/>
  <c r="M52" i="17"/>
  <c r="U52" i="17"/>
  <c r="V51" i="17" s="1"/>
  <c r="W52" i="17"/>
  <c r="X52" i="17"/>
  <c r="Y51" i="17" s="1"/>
  <c r="Z52" i="17"/>
  <c r="AA52" i="17"/>
  <c r="AB51" i="17" s="1"/>
  <c r="J53" i="17"/>
  <c r="K53" i="17"/>
  <c r="L53" i="17"/>
  <c r="M53" i="17"/>
  <c r="U53" i="17"/>
  <c r="W53" i="17"/>
  <c r="X53" i="17"/>
  <c r="Z53" i="17"/>
  <c r="AA53" i="17"/>
  <c r="K54" i="17"/>
  <c r="L54" i="17"/>
  <c r="M54" i="17"/>
  <c r="U54" i="17"/>
  <c r="W54" i="17"/>
  <c r="X54" i="17"/>
  <c r="Z54" i="17"/>
  <c r="AA54" i="17"/>
  <c r="K55" i="17"/>
  <c r="L55" i="17"/>
  <c r="N54" i="17" s="1"/>
  <c r="O54" i="17" s="1"/>
  <c r="M55" i="17"/>
  <c r="U55" i="17"/>
  <c r="V54" i="17" s="1"/>
  <c r="W55" i="17"/>
  <c r="X55" i="17"/>
  <c r="Y54" i="17" s="1"/>
  <c r="Z55" i="17"/>
  <c r="AA55" i="17"/>
  <c r="AB54" i="17" s="1"/>
  <c r="J56" i="17"/>
  <c r="K56" i="17"/>
  <c r="L56" i="17"/>
  <c r="M56" i="17"/>
  <c r="U56" i="17"/>
  <c r="W56" i="17"/>
  <c r="X56" i="17"/>
  <c r="Z56" i="17"/>
  <c r="AA56" i="17"/>
  <c r="J57" i="17"/>
  <c r="K57" i="17"/>
  <c r="L57" i="17"/>
  <c r="M57" i="17"/>
  <c r="U57" i="17"/>
  <c r="W57" i="17"/>
  <c r="X57" i="17"/>
  <c r="Z57" i="17"/>
  <c r="AA57" i="17"/>
  <c r="J58" i="17"/>
  <c r="K58" i="17"/>
  <c r="L58" i="17"/>
  <c r="M58" i="17"/>
  <c r="U58" i="17"/>
  <c r="W58" i="17"/>
  <c r="X58" i="17"/>
  <c r="Z58" i="17"/>
  <c r="AA58" i="17"/>
  <c r="J59" i="17"/>
  <c r="K59" i="17"/>
  <c r="L59" i="17"/>
  <c r="M59" i="17"/>
  <c r="U59" i="17"/>
  <c r="W59" i="17"/>
  <c r="X59" i="17"/>
  <c r="Z59" i="17"/>
  <c r="AA59" i="17"/>
  <c r="J60" i="17"/>
  <c r="K60" i="17"/>
  <c r="L60" i="17"/>
  <c r="M60" i="17"/>
  <c r="U60" i="17"/>
  <c r="W60" i="17"/>
  <c r="X60" i="17"/>
  <c r="Z60" i="17"/>
  <c r="AA60" i="17"/>
  <c r="J61" i="17"/>
  <c r="K61" i="17"/>
  <c r="L61" i="17"/>
  <c r="M61" i="17"/>
  <c r="U61" i="17"/>
  <c r="W61" i="17"/>
  <c r="X61" i="17"/>
  <c r="Z61" i="17"/>
  <c r="AA61" i="17"/>
  <c r="J62" i="17"/>
  <c r="K62" i="17"/>
  <c r="L62" i="17"/>
  <c r="N61" i="17" s="1"/>
  <c r="O61" i="17" s="1"/>
  <c r="M62" i="17"/>
  <c r="U62" i="17"/>
  <c r="V61" i="17" s="1"/>
  <c r="W62" i="17"/>
  <c r="X62" i="17"/>
  <c r="Y61" i="17" s="1"/>
  <c r="Z62" i="17"/>
  <c r="AA62" i="17"/>
  <c r="AB61" i="17" s="1"/>
  <c r="J63" i="17"/>
  <c r="K63" i="17"/>
  <c r="L63" i="17"/>
  <c r="M63" i="17"/>
  <c r="U63" i="17"/>
  <c r="W63" i="17"/>
  <c r="X63" i="17"/>
  <c r="Z63" i="17"/>
  <c r="AA63" i="17"/>
  <c r="J64" i="17"/>
  <c r="K64" i="17"/>
  <c r="L64" i="17"/>
  <c r="M64" i="17"/>
  <c r="U64" i="17"/>
  <c r="W64" i="17"/>
  <c r="X64" i="17"/>
  <c r="Z64" i="17"/>
  <c r="AA64" i="17"/>
  <c r="J65" i="17"/>
  <c r="K65" i="17"/>
  <c r="L65" i="17"/>
  <c r="M65" i="17"/>
  <c r="U65" i="17"/>
  <c r="W65" i="17"/>
  <c r="X65" i="17"/>
  <c r="Z65" i="17"/>
  <c r="AA65" i="17"/>
  <c r="J66" i="17"/>
  <c r="K66" i="17"/>
  <c r="L66" i="17"/>
  <c r="N65" i="17" s="1"/>
  <c r="O65" i="17" s="1"/>
  <c r="M66" i="17"/>
  <c r="U66" i="17"/>
  <c r="V65" i="17" s="1"/>
  <c r="W66" i="17"/>
  <c r="X66" i="17"/>
  <c r="Y65" i="17" s="1"/>
  <c r="Z66" i="17"/>
  <c r="AA66" i="17"/>
  <c r="AB65" i="17" s="1"/>
  <c r="J67" i="17"/>
  <c r="K67" i="17"/>
  <c r="L67" i="17"/>
  <c r="M67" i="17"/>
  <c r="U67" i="17"/>
  <c r="W67" i="17"/>
  <c r="X67" i="17"/>
  <c r="Z67" i="17"/>
  <c r="AA67" i="17"/>
  <c r="J68" i="17"/>
  <c r="K68" i="17"/>
  <c r="L68" i="17"/>
  <c r="M68" i="17"/>
  <c r="U68" i="17"/>
  <c r="W68" i="17"/>
  <c r="X68" i="17"/>
  <c r="Z68" i="17"/>
  <c r="AA68" i="17"/>
  <c r="J69" i="17"/>
  <c r="K69" i="17"/>
  <c r="L69" i="17"/>
  <c r="M69" i="17"/>
  <c r="U69" i="17"/>
  <c r="W69" i="17"/>
  <c r="X69" i="17"/>
  <c r="Z69" i="17"/>
  <c r="AA69" i="17"/>
  <c r="J70" i="17"/>
  <c r="K70" i="17"/>
  <c r="L70" i="17"/>
  <c r="M70" i="17"/>
  <c r="U70" i="17"/>
  <c r="W70" i="17"/>
  <c r="X70" i="17"/>
  <c r="Z70" i="17"/>
  <c r="AA70" i="17"/>
  <c r="J71" i="17"/>
  <c r="K71" i="17"/>
  <c r="L71" i="17"/>
  <c r="M71" i="17"/>
  <c r="U71" i="17"/>
  <c r="W71" i="17"/>
  <c r="X71" i="17"/>
  <c r="Z71" i="17"/>
  <c r="AA71" i="17"/>
  <c r="J72" i="17"/>
  <c r="K72" i="17"/>
  <c r="L72" i="17"/>
  <c r="M72" i="17"/>
  <c r="U72" i="17"/>
  <c r="W72" i="17"/>
  <c r="X72" i="17"/>
  <c r="Z72" i="17"/>
  <c r="AA72" i="17"/>
  <c r="J73" i="17"/>
  <c r="K73" i="17"/>
  <c r="L73" i="17"/>
  <c r="M73" i="17"/>
  <c r="U73" i="17"/>
  <c r="W73" i="17"/>
  <c r="X73" i="17"/>
  <c r="Z73" i="17"/>
  <c r="AA73" i="17"/>
  <c r="J74" i="17"/>
  <c r="K74" i="17"/>
  <c r="L74" i="17"/>
  <c r="M74" i="17"/>
  <c r="U74" i="17"/>
  <c r="W74" i="17"/>
  <c r="X74" i="17"/>
  <c r="Z74" i="17"/>
  <c r="AA74" i="17"/>
  <c r="J75" i="17"/>
  <c r="K75" i="17"/>
  <c r="L75" i="17"/>
  <c r="N74" i="17" s="1"/>
  <c r="O74" i="17" s="1"/>
  <c r="M75" i="17"/>
  <c r="U75" i="17"/>
  <c r="V74" i="17" s="1"/>
  <c r="W75" i="17"/>
  <c r="X75" i="17"/>
  <c r="Y74" i="17" s="1"/>
  <c r="Z75" i="17"/>
  <c r="AA75" i="17"/>
  <c r="AB74" i="17" s="1"/>
  <c r="J76" i="17"/>
  <c r="K76" i="17"/>
  <c r="L76" i="17"/>
  <c r="M76" i="17"/>
  <c r="U76" i="17"/>
  <c r="W76" i="17"/>
  <c r="X76" i="17"/>
  <c r="Z76" i="17"/>
  <c r="AA76" i="17"/>
  <c r="J77" i="17"/>
  <c r="K77" i="17"/>
  <c r="L77" i="17"/>
  <c r="M77" i="17"/>
  <c r="U77" i="17"/>
  <c r="W77" i="17"/>
  <c r="X77" i="17"/>
  <c r="Z77" i="17"/>
  <c r="AA77" i="17"/>
  <c r="J78" i="17"/>
  <c r="K78" i="17"/>
  <c r="L78" i="17"/>
  <c r="M78" i="17"/>
  <c r="U78" i="17"/>
  <c r="W78" i="17"/>
  <c r="X78" i="17"/>
  <c r="Z78" i="17"/>
  <c r="AA78" i="17"/>
  <c r="J79" i="17"/>
  <c r="K79" i="17"/>
  <c r="L79" i="17"/>
  <c r="M79" i="17"/>
  <c r="U79" i="17"/>
  <c r="W79" i="17"/>
  <c r="X79" i="17"/>
  <c r="Z79" i="17"/>
  <c r="AA79" i="17"/>
  <c r="J80" i="17"/>
  <c r="K80" i="17"/>
  <c r="L80" i="17"/>
  <c r="M80" i="17"/>
  <c r="U80" i="17"/>
  <c r="W80" i="17"/>
  <c r="X80" i="17"/>
  <c r="Z80" i="17"/>
  <c r="AA80" i="17"/>
  <c r="J81" i="17"/>
  <c r="K81" i="17"/>
  <c r="L81" i="17"/>
  <c r="M81" i="17"/>
  <c r="U81" i="17"/>
  <c r="W81" i="17"/>
  <c r="X81" i="17"/>
  <c r="Z81" i="17"/>
  <c r="AA81" i="17"/>
  <c r="J82" i="17"/>
  <c r="K82" i="17"/>
  <c r="L82" i="17"/>
  <c r="M82" i="17"/>
  <c r="U82" i="17"/>
  <c r="W82" i="17"/>
  <c r="X82" i="17"/>
  <c r="Z82" i="17"/>
  <c r="AA82" i="17"/>
  <c r="J83" i="17"/>
  <c r="K83" i="17"/>
  <c r="L83" i="17"/>
  <c r="M83" i="17"/>
  <c r="U83" i="17"/>
  <c r="W83" i="17"/>
  <c r="X83" i="17"/>
  <c r="Z83" i="17"/>
  <c r="AA83" i="17"/>
  <c r="J84" i="17"/>
  <c r="K84" i="17"/>
  <c r="L84" i="17"/>
  <c r="M84" i="17"/>
  <c r="U84" i="17"/>
  <c r="W84" i="17"/>
  <c r="X84" i="17"/>
  <c r="Z84" i="17"/>
  <c r="AA84" i="17"/>
  <c r="J85" i="17"/>
  <c r="K85" i="17"/>
  <c r="L85" i="17"/>
  <c r="M85" i="17"/>
  <c r="U85" i="17"/>
  <c r="W85" i="17"/>
  <c r="X85" i="17"/>
  <c r="Z85" i="17"/>
  <c r="AA85" i="17"/>
  <c r="J86" i="17"/>
  <c r="K86" i="17"/>
  <c r="L86" i="17"/>
  <c r="M86" i="17"/>
  <c r="U86" i="17"/>
  <c r="W86" i="17"/>
  <c r="X86" i="17"/>
  <c r="Z86" i="17"/>
  <c r="AA86" i="17"/>
  <c r="K87" i="17"/>
  <c r="L87" i="17"/>
  <c r="M87" i="17"/>
  <c r="U87" i="17"/>
  <c r="W87" i="17"/>
  <c r="X87" i="17"/>
  <c r="Z87" i="17"/>
  <c r="AA87" i="17"/>
  <c r="J88" i="17"/>
  <c r="K88" i="17"/>
  <c r="L88" i="17"/>
  <c r="M88" i="17"/>
  <c r="U88" i="17"/>
  <c r="W88" i="17"/>
  <c r="X88" i="17"/>
  <c r="Z88" i="17"/>
  <c r="AA88" i="17"/>
  <c r="J89" i="17"/>
  <c r="K89" i="17"/>
  <c r="L89" i="17"/>
  <c r="N88" i="17" s="1"/>
  <c r="O88" i="17" s="1"/>
  <c r="M89" i="17"/>
  <c r="U89" i="17"/>
  <c r="V88" i="17" s="1"/>
  <c r="W89" i="17"/>
  <c r="X89" i="17"/>
  <c r="Y88" i="17" s="1"/>
  <c r="Z89" i="17"/>
  <c r="AA89" i="17"/>
  <c r="AB88" i="17" s="1"/>
  <c r="J90" i="17"/>
  <c r="K90" i="17"/>
  <c r="L90" i="17"/>
  <c r="M90" i="17"/>
  <c r="U90" i="17"/>
  <c r="W90" i="17"/>
  <c r="X90" i="17"/>
  <c r="Z90" i="17"/>
  <c r="AA90" i="17"/>
  <c r="J91" i="17"/>
  <c r="K91" i="17"/>
  <c r="L91" i="17"/>
  <c r="M91" i="17"/>
  <c r="U91" i="17"/>
  <c r="W91" i="17"/>
  <c r="X91" i="17"/>
  <c r="Z91" i="17"/>
  <c r="AA91" i="17"/>
  <c r="J92" i="17"/>
  <c r="K92" i="17"/>
  <c r="L92" i="17"/>
  <c r="M92" i="17"/>
  <c r="U92" i="17"/>
  <c r="W92" i="17"/>
  <c r="X92" i="17"/>
  <c r="Z92" i="17"/>
  <c r="AA92" i="17"/>
  <c r="J93" i="17"/>
  <c r="K93" i="17"/>
  <c r="L93" i="17"/>
  <c r="M93" i="17"/>
  <c r="U93" i="17"/>
  <c r="W93" i="17"/>
  <c r="X93" i="17"/>
  <c r="Z93" i="17"/>
  <c r="AA93" i="17"/>
  <c r="J94" i="17"/>
  <c r="K94" i="17"/>
  <c r="L94" i="17"/>
  <c r="M94" i="17"/>
  <c r="U94" i="17"/>
  <c r="W94" i="17"/>
  <c r="X94" i="17"/>
  <c r="Z94" i="17"/>
  <c r="AA94" i="17"/>
  <c r="J95" i="17"/>
  <c r="K95" i="17"/>
  <c r="U95" i="17" s="1"/>
  <c r="L95" i="17"/>
  <c r="M95" i="17"/>
  <c r="W95" i="17"/>
  <c r="Z95" i="17"/>
  <c r="J96" i="17"/>
  <c r="K96" i="17"/>
  <c r="L96" i="17"/>
  <c r="M96" i="17"/>
  <c r="U96" i="17"/>
  <c r="W96" i="17"/>
  <c r="X96" i="17"/>
  <c r="Z96" i="17"/>
  <c r="AA96" i="17"/>
  <c r="J97" i="17"/>
  <c r="K97" i="17"/>
  <c r="L97" i="17"/>
  <c r="M97" i="17"/>
  <c r="U97" i="17"/>
  <c r="W97" i="17"/>
  <c r="X97" i="17"/>
  <c r="Z97" i="17"/>
  <c r="AA97" i="17"/>
  <c r="J98" i="17"/>
  <c r="K98" i="17"/>
  <c r="L98" i="17"/>
  <c r="M98" i="17"/>
  <c r="U98" i="17"/>
  <c r="W98" i="17"/>
  <c r="X98" i="17"/>
  <c r="Z98" i="17"/>
  <c r="AA98" i="17"/>
  <c r="J99" i="17"/>
  <c r="K99" i="17"/>
  <c r="L99" i="17"/>
  <c r="N98" i="17" s="1"/>
  <c r="O98" i="17" s="1"/>
  <c r="M99" i="17"/>
  <c r="U99" i="17"/>
  <c r="V98" i="17" s="1"/>
  <c r="W99" i="17"/>
  <c r="X99" i="17"/>
  <c r="Y98" i="17" s="1"/>
  <c r="Z99" i="17"/>
  <c r="AA99" i="17"/>
  <c r="AB98" i="17" s="1"/>
  <c r="J100" i="17"/>
  <c r="K100" i="17"/>
  <c r="L100" i="17"/>
  <c r="M100" i="17"/>
  <c r="U100" i="17"/>
  <c r="W100" i="17"/>
  <c r="X100" i="17"/>
  <c r="Z100" i="17"/>
  <c r="AA100" i="17"/>
  <c r="J101" i="17"/>
  <c r="K101" i="17"/>
  <c r="L101" i="17"/>
  <c r="M101" i="17"/>
  <c r="U101" i="17"/>
  <c r="W101" i="17"/>
  <c r="X101" i="17"/>
  <c r="Z101" i="17"/>
  <c r="AA101" i="17"/>
  <c r="J102" i="17"/>
  <c r="K102" i="17"/>
  <c r="L102" i="17"/>
  <c r="N101" i="17" s="1"/>
  <c r="O101" i="17" s="1"/>
  <c r="M102" i="17"/>
  <c r="U102" i="17"/>
  <c r="V101" i="17" s="1"/>
  <c r="W102" i="17"/>
  <c r="X102" i="17"/>
  <c r="Y101" i="17" s="1"/>
  <c r="Z102" i="17"/>
  <c r="AA102" i="17"/>
  <c r="AB101" i="17" s="1"/>
  <c r="J103" i="17"/>
  <c r="K103" i="17"/>
  <c r="L103" i="17"/>
  <c r="M103" i="17"/>
  <c r="U103" i="17"/>
  <c r="W103" i="17"/>
  <c r="X103" i="17"/>
  <c r="Z103" i="17"/>
  <c r="AA103" i="17"/>
  <c r="J104" i="17"/>
  <c r="K104" i="17"/>
  <c r="L104" i="17"/>
  <c r="M104" i="17"/>
  <c r="U104" i="17"/>
  <c r="W104" i="17"/>
  <c r="X104" i="17"/>
  <c r="Z104" i="17"/>
  <c r="AA104" i="17"/>
  <c r="J105" i="17"/>
  <c r="K105" i="17"/>
  <c r="L105" i="17"/>
  <c r="M105" i="17"/>
  <c r="U105" i="17"/>
  <c r="W105" i="17"/>
  <c r="X105" i="17"/>
  <c r="Z105" i="17"/>
  <c r="AA105" i="17"/>
  <c r="J106" i="17"/>
  <c r="K106" i="17"/>
  <c r="L106" i="17"/>
  <c r="M106" i="17"/>
  <c r="N106" i="17"/>
  <c r="O106" i="17"/>
  <c r="U106" i="17"/>
  <c r="V106" i="17"/>
  <c r="W106" i="17"/>
  <c r="X106" i="17"/>
  <c r="Y106" i="17"/>
  <c r="Z106" i="17"/>
  <c r="AA106" i="17"/>
  <c r="AB106" i="17"/>
  <c r="J107" i="17"/>
  <c r="K107" i="17"/>
  <c r="L107" i="17"/>
  <c r="M107" i="17"/>
  <c r="U107" i="17"/>
  <c r="W107" i="17"/>
  <c r="X107" i="17"/>
  <c r="Z107" i="17"/>
  <c r="AA107" i="17"/>
  <c r="J108" i="17"/>
  <c r="K108" i="17"/>
  <c r="L108" i="17"/>
  <c r="N107" i="17" s="1"/>
  <c r="O107" i="17" s="1"/>
  <c r="M108" i="17"/>
  <c r="U108" i="17"/>
  <c r="V107" i="17" s="1"/>
  <c r="W108" i="17"/>
  <c r="X108" i="17"/>
  <c r="Y107" i="17" s="1"/>
  <c r="Z108" i="17"/>
  <c r="AA108" i="17"/>
  <c r="AB107" i="17" s="1"/>
  <c r="J109" i="17"/>
  <c r="K109" i="17"/>
  <c r="L109" i="17"/>
  <c r="M109" i="17"/>
  <c r="U109" i="17"/>
  <c r="W109" i="17"/>
  <c r="X109" i="17"/>
  <c r="Z109" i="17"/>
  <c r="AA109" i="17"/>
  <c r="J110" i="17"/>
  <c r="K110" i="17"/>
  <c r="L110" i="17"/>
  <c r="M110" i="17"/>
  <c r="U110" i="17"/>
  <c r="W110" i="17"/>
  <c r="X110" i="17"/>
  <c r="Z110" i="17"/>
  <c r="AA110" i="17"/>
  <c r="K111" i="17"/>
  <c r="L111" i="17"/>
  <c r="M111" i="17"/>
  <c r="U111" i="17"/>
  <c r="W111" i="17"/>
  <c r="X111" i="17"/>
  <c r="Z111" i="17"/>
  <c r="AA111" i="17"/>
  <c r="J112" i="17"/>
  <c r="K112" i="17"/>
  <c r="L112" i="17"/>
  <c r="M112" i="17"/>
  <c r="U112" i="17"/>
  <c r="W112" i="17"/>
  <c r="X112" i="17"/>
  <c r="Z112" i="17"/>
  <c r="AA112" i="17"/>
  <c r="J113" i="17"/>
  <c r="K113" i="17"/>
  <c r="L113" i="17"/>
  <c r="N112" i="17" s="1"/>
  <c r="O112" i="17" s="1"/>
  <c r="M113" i="17"/>
  <c r="U113" i="17"/>
  <c r="V112" i="17" s="1"/>
  <c r="W113" i="17"/>
  <c r="X113" i="17"/>
  <c r="Y112" i="17" s="1"/>
  <c r="Z113" i="17"/>
  <c r="AA113" i="17"/>
  <c r="AB112" i="17" s="1"/>
  <c r="J114" i="17"/>
  <c r="K114" i="17"/>
  <c r="L114" i="17"/>
  <c r="M114" i="17"/>
  <c r="U114" i="17"/>
  <c r="W114" i="17"/>
  <c r="X114" i="17"/>
  <c r="Z114" i="17"/>
  <c r="AA114" i="17"/>
  <c r="J115" i="17"/>
  <c r="K115" i="17"/>
  <c r="L115" i="17"/>
  <c r="M115" i="17"/>
  <c r="U115" i="17"/>
  <c r="W115" i="17"/>
  <c r="X115" i="17"/>
  <c r="Z115" i="17"/>
  <c r="AA115" i="17"/>
  <c r="J116" i="17"/>
  <c r="K116" i="17"/>
  <c r="L116" i="17"/>
  <c r="N115" i="17" s="1"/>
  <c r="O115" i="17" s="1"/>
  <c r="M116" i="17"/>
  <c r="U116" i="17"/>
  <c r="V115" i="17" s="1"/>
  <c r="W116" i="17"/>
  <c r="X116" i="17"/>
  <c r="Y115" i="17" s="1"/>
  <c r="Z116" i="17"/>
  <c r="AA116" i="17"/>
  <c r="AB115" i="17" s="1"/>
  <c r="J117" i="17"/>
  <c r="K117" i="17"/>
  <c r="L117" i="17"/>
  <c r="M117" i="17"/>
  <c r="U117" i="17"/>
  <c r="W117" i="17"/>
  <c r="X117" i="17"/>
  <c r="Z117" i="17"/>
  <c r="AA117" i="17"/>
  <c r="J118" i="17"/>
  <c r="K118" i="17"/>
  <c r="L118" i="17"/>
  <c r="M118" i="17"/>
  <c r="U118" i="17"/>
  <c r="W118" i="17"/>
  <c r="X118" i="17"/>
  <c r="Z118" i="17"/>
  <c r="AA118" i="17"/>
  <c r="J119" i="17"/>
  <c r="K119" i="17"/>
  <c r="L119" i="17"/>
  <c r="M119" i="17"/>
  <c r="U119" i="17"/>
  <c r="W119" i="17"/>
  <c r="X119" i="17"/>
  <c r="Z119" i="17"/>
  <c r="AA119" i="17"/>
  <c r="J120" i="17"/>
  <c r="K120" i="17"/>
  <c r="L120" i="17"/>
  <c r="M120" i="17"/>
  <c r="U120" i="17"/>
  <c r="W120" i="17"/>
  <c r="X120" i="17"/>
  <c r="Z120" i="17"/>
  <c r="AA120" i="17"/>
  <c r="J121" i="17"/>
  <c r="K121" i="17"/>
  <c r="L121" i="17"/>
  <c r="N120" i="17" s="1"/>
  <c r="O120" i="17" s="1"/>
  <c r="M121" i="17"/>
  <c r="U121" i="17"/>
  <c r="V120" i="17" s="1"/>
  <c r="W121" i="17"/>
  <c r="X121" i="17"/>
  <c r="Y120" i="17" s="1"/>
  <c r="Z121" i="17"/>
  <c r="AA121" i="17"/>
  <c r="AB120" i="17" s="1"/>
  <c r="J122" i="17"/>
  <c r="K122" i="17"/>
  <c r="L122" i="17"/>
  <c r="M122" i="17"/>
  <c r="U122" i="17"/>
  <c r="W122" i="17"/>
  <c r="X122" i="17"/>
  <c r="Z122" i="17"/>
  <c r="AA122" i="17"/>
  <c r="J123" i="17"/>
  <c r="K123" i="17"/>
  <c r="L123" i="17"/>
  <c r="M123" i="17"/>
  <c r="U123" i="17"/>
  <c r="W123" i="17"/>
  <c r="X123" i="17"/>
  <c r="Z123" i="17"/>
  <c r="AA123" i="17"/>
  <c r="J124" i="17"/>
  <c r="K124" i="17"/>
  <c r="L124" i="17"/>
  <c r="M124" i="17"/>
  <c r="U124" i="17"/>
  <c r="W124" i="17"/>
  <c r="X124" i="17"/>
  <c r="Z124" i="17"/>
  <c r="AA124" i="17"/>
  <c r="J125" i="17"/>
  <c r="K125" i="17"/>
  <c r="L125" i="17"/>
  <c r="M125" i="17"/>
  <c r="U125" i="17"/>
  <c r="W125" i="17"/>
  <c r="X125" i="17"/>
  <c r="Z125" i="17"/>
  <c r="AA125" i="17"/>
  <c r="J126" i="17"/>
  <c r="K126" i="17"/>
  <c r="L126" i="17"/>
  <c r="N125" i="17" s="1"/>
  <c r="O125" i="17" s="1"/>
  <c r="M126" i="17"/>
  <c r="U126" i="17"/>
  <c r="V125" i="17" s="1"/>
  <c r="W126" i="17"/>
  <c r="X126" i="17"/>
  <c r="Y125" i="17" s="1"/>
  <c r="Z126" i="17"/>
  <c r="AA126" i="17"/>
  <c r="AB125" i="17" s="1"/>
  <c r="J127" i="17"/>
  <c r="K127" i="17"/>
  <c r="L127" i="17"/>
  <c r="M127" i="17"/>
  <c r="U127" i="17"/>
  <c r="W127" i="17"/>
  <c r="X127" i="17"/>
  <c r="Z127" i="17"/>
  <c r="AA127" i="17"/>
  <c r="J128" i="17"/>
  <c r="K128" i="17"/>
  <c r="L128" i="17"/>
  <c r="M128" i="17"/>
  <c r="U128" i="17"/>
  <c r="W128" i="17"/>
  <c r="X128" i="17"/>
  <c r="Z128" i="17"/>
  <c r="AA128" i="17"/>
  <c r="J129" i="17"/>
  <c r="K129" i="17"/>
  <c r="L129" i="17"/>
  <c r="M129" i="17"/>
  <c r="U129" i="17"/>
  <c r="W129" i="17"/>
  <c r="X129" i="17"/>
  <c r="Z129" i="17"/>
  <c r="AA129" i="17"/>
  <c r="J130" i="17"/>
  <c r="K130" i="17"/>
  <c r="L130" i="17"/>
  <c r="M130" i="17"/>
  <c r="U130" i="17"/>
  <c r="W130" i="17"/>
  <c r="X130" i="17"/>
  <c r="Z130" i="17"/>
  <c r="AA130" i="17"/>
  <c r="J131" i="17"/>
  <c r="K131" i="17"/>
  <c r="L131" i="17"/>
  <c r="M131" i="17"/>
  <c r="U131" i="17"/>
  <c r="W131" i="17"/>
  <c r="X131" i="17"/>
  <c r="Z131" i="17"/>
  <c r="AA131" i="17"/>
  <c r="J132" i="17"/>
  <c r="K132" i="17"/>
  <c r="L132" i="17"/>
  <c r="N131" i="17" s="1"/>
  <c r="O131" i="17" s="1"/>
  <c r="M132" i="17"/>
  <c r="U132" i="17"/>
  <c r="V131" i="17" s="1"/>
  <c r="W132" i="17"/>
  <c r="X132" i="17"/>
  <c r="Y131" i="17" s="1"/>
  <c r="Z132" i="17"/>
  <c r="AA132" i="17"/>
  <c r="AB131" i="17" s="1"/>
  <c r="J133" i="17"/>
  <c r="K133" i="17"/>
  <c r="L133" i="17"/>
  <c r="M133" i="17"/>
  <c r="U133" i="17"/>
  <c r="W133" i="17"/>
  <c r="X133" i="17"/>
  <c r="Z133" i="17"/>
  <c r="AA133" i="17"/>
  <c r="J134" i="17"/>
  <c r="K134" i="17"/>
  <c r="L134" i="17"/>
  <c r="M134" i="17"/>
  <c r="U134" i="17"/>
  <c r="W134" i="17"/>
  <c r="X134" i="17"/>
  <c r="Z134" i="17"/>
  <c r="AA134" i="17"/>
  <c r="J135" i="17"/>
  <c r="K135" i="17"/>
  <c r="L135" i="17"/>
  <c r="M135" i="17"/>
  <c r="U135" i="17"/>
  <c r="W135" i="17"/>
  <c r="X135" i="17"/>
  <c r="Z135" i="17"/>
  <c r="AA135" i="17"/>
  <c r="J136" i="17"/>
  <c r="K136" i="17"/>
  <c r="L136" i="17"/>
  <c r="M136" i="17"/>
  <c r="U136" i="17"/>
  <c r="W136" i="17"/>
  <c r="X136" i="17"/>
  <c r="Z136" i="17"/>
  <c r="AA136" i="17"/>
  <c r="J137" i="17"/>
  <c r="K137" i="17"/>
  <c r="L137" i="17"/>
  <c r="M137" i="17"/>
  <c r="U137" i="17"/>
  <c r="W137" i="17"/>
  <c r="X137" i="17"/>
  <c r="Z137" i="17"/>
  <c r="AA137" i="17"/>
  <c r="J138" i="17"/>
  <c r="K138" i="17"/>
  <c r="L138" i="17"/>
  <c r="N137" i="17" s="1"/>
  <c r="O137" i="17" s="1"/>
  <c r="M138" i="17"/>
  <c r="U138" i="17"/>
  <c r="V137" i="17" s="1"/>
  <c r="W138" i="17"/>
  <c r="X138" i="17"/>
  <c r="Y137" i="17" s="1"/>
  <c r="Z138" i="17"/>
  <c r="AA138" i="17"/>
  <c r="AB137" i="17" s="1"/>
  <c r="J139" i="17"/>
  <c r="K139" i="17"/>
  <c r="L139" i="17"/>
  <c r="M139" i="17"/>
  <c r="U139" i="17"/>
  <c r="W139" i="17"/>
  <c r="X139" i="17"/>
  <c r="Z139" i="17"/>
  <c r="AA139" i="17"/>
  <c r="J140" i="17"/>
  <c r="K140" i="17"/>
  <c r="L140" i="17"/>
  <c r="M140" i="17"/>
  <c r="U140" i="17"/>
  <c r="V13" i="17" s="1"/>
  <c r="W140" i="17"/>
  <c r="X140" i="17"/>
  <c r="Y13" i="17" s="1"/>
  <c r="Z140" i="17"/>
  <c r="AA140" i="17"/>
  <c r="AB13" i="17" s="1"/>
  <c r="J141" i="17"/>
  <c r="K141" i="17"/>
  <c r="L141" i="17"/>
  <c r="N140" i="17" s="1"/>
  <c r="O140" i="17" s="1"/>
  <c r="M141" i="17"/>
  <c r="U141" i="17"/>
  <c r="V140" i="17" s="1"/>
  <c r="W141" i="17"/>
  <c r="X141" i="17"/>
  <c r="Y140" i="17" s="1"/>
  <c r="Z141" i="17"/>
  <c r="AA141" i="17"/>
  <c r="AB140" i="17" s="1"/>
  <c r="J142" i="17"/>
  <c r="K142" i="17"/>
  <c r="L142" i="17"/>
  <c r="M142" i="17"/>
  <c r="U142" i="17"/>
  <c r="W142" i="17"/>
  <c r="X142" i="17"/>
  <c r="Z142" i="17"/>
  <c r="AA142" i="17"/>
  <c r="J143" i="17"/>
  <c r="K143" i="17"/>
  <c r="L143" i="17"/>
  <c r="M143" i="17"/>
  <c r="N143" i="17"/>
  <c r="O143" i="17"/>
  <c r="U143" i="17"/>
  <c r="V143" i="17"/>
  <c r="W143" i="17"/>
  <c r="X143" i="17"/>
  <c r="Y143" i="17"/>
  <c r="Z143" i="17"/>
  <c r="AA143" i="17"/>
  <c r="AB143" i="17"/>
  <c r="J144" i="17"/>
  <c r="K144" i="17"/>
  <c r="L144" i="17"/>
  <c r="M144" i="17"/>
  <c r="U144" i="17"/>
  <c r="W144" i="17"/>
  <c r="X144" i="17"/>
  <c r="Z144" i="17"/>
  <c r="AA144" i="17"/>
  <c r="J145" i="17"/>
  <c r="K145" i="17"/>
  <c r="L145" i="17"/>
  <c r="N144" i="17" s="1"/>
  <c r="O144" i="17" s="1"/>
  <c r="M145" i="17"/>
  <c r="U145" i="17"/>
  <c r="W145" i="17"/>
  <c r="X145" i="17"/>
  <c r="Z145" i="17"/>
  <c r="AA145" i="17"/>
  <c r="J146" i="17"/>
  <c r="K146" i="17"/>
  <c r="L146" i="17"/>
  <c r="M146" i="17"/>
  <c r="U146" i="17"/>
  <c r="W146" i="17"/>
  <c r="X146" i="17"/>
  <c r="Z146" i="17"/>
  <c r="AA146" i="17"/>
  <c r="J147" i="17"/>
  <c r="K147" i="17"/>
  <c r="L147" i="17"/>
  <c r="M147" i="17"/>
  <c r="U147" i="17"/>
  <c r="W147" i="17"/>
  <c r="X147" i="17"/>
  <c r="Z147" i="17"/>
  <c r="AA147" i="17"/>
  <c r="J148" i="17"/>
  <c r="K148" i="17"/>
  <c r="L148" i="17"/>
  <c r="M148" i="17"/>
  <c r="U148" i="17"/>
  <c r="W148" i="17"/>
  <c r="X148" i="17"/>
  <c r="Z148" i="17"/>
  <c r="AA148" i="17"/>
  <c r="J149" i="17"/>
  <c r="K149" i="17"/>
  <c r="L149" i="17"/>
  <c r="N148" i="17" s="1"/>
  <c r="O148" i="17" s="1"/>
  <c r="M149" i="17"/>
  <c r="U149" i="17"/>
  <c r="V148" i="17" s="1"/>
  <c r="W149" i="17"/>
  <c r="X149" i="17"/>
  <c r="Y148" i="17" s="1"/>
  <c r="Z149" i="17"/>
  <c r="AA149" i="17"/>
  <c r="AB148" i="17" s="1"/>
  <c r="J150" i="17"/>
  <c r="K150" i="17"/>
  <c r="L150" i="17"/>
  <c r="M150" i="17"/>
  <c r="U150" i="17"/>
  <c r="W150" i="17"/>
  <c r="X150" i="17"/>
  <c r="Z150" i="17"/>
  <c r="AA150" i="17"/>
  <c r="J151" i="17"/>
  <c r="K151" i="17"/>
  <c r="L151" i="17"/>
  <c r="M151" i="17"/>
  <c r="U151" i="17"/>
  <c r="W151" i="17"/>
  <c r="X151" i="17"/>
  <c r="Z151" i="17"/>
  <c r="AA151" i="17"/>
  <c r="J152" i="17"/>
  <c r="K152" i="17"/>
  <c r="L152" i="17"/>
  <c r="M152" i="17"/>
  <c r="U152" i="17"/>
  <c r="W152" i="17"/>
  <c r="X152" i="17"/>
  <c r="Z152" i="17"/>
  <c r="AA152" i="17"/>
  <c r="J153" i="17"/>
  <c r="K153" i="17"/>
  <c r="L153" i="17"/>
  <c r="M153" i="17"/>
  <c r="U153" i="17"/>
  <c r="W153" i="17"/>
  <c r="X153" i="17"/>
  <c r="Z153" i="17"/>
  <c r="AA153" i="17"/>
  <c r="J154" i="17"/>
  <c r="K154" i="17"/>
  <c r="L154" i="17"/>
  <c r="M154" i="17"/>
  <c r="U154" i="17"/>
  <c r="W154" i="17"/>
  <c r="X154" i="17"/>
  <c r="Z154" i="17"/>
  <c r="AA154" i="17"/>
  <c r="J155" i="17"/>
  <c r="K155" i="17"/>
  <c r="L155" i="17"/>
  <c r="M155" i="17"/>
  <c r="U155" i="17"/>
  <c r="W155" i="17"/>
  <c r="X155" i="17"/>
  <c r="Z155" i="17"/>
  <c r="AA155" i="17"/>
  <c r="J156" i="17"/>
  <c r="K156" i="17"/>
  <c r="L156" i="17"/>
  <c r="M156" i="17"/>
  <c r="U156" i="17"/>
  <c r="W156" i="17"/>
  <c r="X156" i="17"/>
  <c r="Z156" i="17"/>
  <c r="AA156" i="17"/>
  <c r="J157" i="17"/>
  <c r="K157" i="17"/>
  <c r="L157" i="17"/>
  <c r="M157" i="17"/>
  <c r="U157" i="17"/>
  <c r="W157" i="17"/>
  <c r="X157" i="17"/>
  <c r="Z157" i="17"/>
  <c r="AA157" i="17"/>
  <c r="J158" i="17"/>
  <c r="K158" i="17"/>
  <c r="L158" i="17"/>
  <c r="M158" i="17"/>
  <c r="U158" i="17"/>
  <c r="W158" i="17"/>
  <c r="X158" i="17"/>
  <c r="Z158" i="17"/>
  <c r="AA158" i="17"/>
  <c r="J159" i="17"/>
  <c r="K159" i="17"/>
  <c r="L159" i="17"/>
  <c r="M159" i="17"/>
  <c r="U159" i="17"/>
  <c r="W159" i="17"/>
  <c r="X159" i="17"/>
  <c r="Z159" i="17"/>
  <c r="AA159" i="17"/>
  <c r="J160" i="17"/>
  <c r="K160" i="17"/>
  <c r="L160" i="17"/>
  <c r="M160" i="17"/>
  <c r="U160" i="17"/>
  <c r="W160" i="17"/>
  <c r="X160" i="17"/>
  <c r="Z160" i="17"/>
  <c r="AA160" i="17"/>
  <c r="J161" i="17"/>
  <c r="K161" i="17"/>
  <c r="L161" i="17"/>
  <c r="M161" i="17"/>
  <c r="U161" i="17"/>
  <c r="W161" i="17"/>
  <c r="X161" i="17"/>
  <c r="Z161" i="17"/>
  <c r="AA161" i="17"/>
  <c r="J162" i="17"/>
  <c r="K162" i="17"/>
  <c r="L162" i="17"/>
  <c r="M162" i="17"/>
  <c r="U162" i="17"/>
  <c r="W162" i="17"/>
  <c r="X162" i="17"/>
  <c r="Z162" i="17"/>
  <c r="AA162" i="17"/>
  <c r="J163" i="17"/>
  <c r="K163" i="17"/>
  <c r="L163" i="17"/>
  <c r="M163" i="17"/>
  <c r="U163" i="17"/>
  <c r="W163" i="17"/>
  <c r="X163" i="17"/>
  <c r="Z163" i="17"/>
  <c r="AA163" i="17"/>
  <c r="J164" i="17"/>
  <c r="K164" i="17"/>
  <c r="L164" i="17"/>
  <c r="M164" i="17"/>
  <c r="U164" i="17"/>
  <c r="W164" i="17"/>
  <c r="X164" i="17"/>
  <c r="Z164" i="17"/>
  <c r="AA164" i="17"/>
  <c r="J165" i="17"/>
  <c r="K165" i="17"/>
  <c r="L165" i="17"/>
  <c r="M165" i="17"/>
  <c r="U165" i="17"/>
  <c r="W165" i="17"/>
  <c r="X165" i="17"/>
  <c r="Z165" i="17"/>
  <c r="AA165" i="17"/>
  <c r="J166" i="17"/>
  <c r="K166" i="17"/>
  <c r="L166" i="17"/>
  <c r="M166" i="17"/>
  <c r="U166" i="17"/>
  <c r="W166" i="17"/>
  <c r="X166" i="17"/>
  <c r="Z166" i="17"/>
  <c r="AA166" i="17"/>
  <c r="J167" i="17"/>
  <c r="K167" i="17"/>
  <c r="L167" i="17"/>
  <c r="M167" i="17"/>
  <c r="U167" i="17"/>
  <c r="W167" i="17"/>
  <c r="X167" i="17"/>
  <c r="Z167" i="17"/>
  <c r="AA167" i="17"/>
  <c r="J168" i="17"/>
  <c r="K168" i="17"/>
  <c r="L168" i="17"/>
  <c r="M168" i="17"/>
  <c r="U168" i="17"/>
  <c r="W168" i="17"/>
  <c r="X168" i="17"/>
  <c r="Z168" i="17"/>
  <c r="AA168" i="17"/>
  <c r="J169" i="17"/>
  <c r="K169" i="17"/>
  <c r="L169" i="17"/>
  <c r="M169" i="17"/>
  <c r="U169" i="17"/>
  <c r="W169" i="17"/>
  <c r="X169" i="17"/>
  <c r="Z169" i="17"/>
  <c r="AA169" i="17"/>
  <c r="J170" i="17"/>
  <c r="K170" i="17"/>
  <c r="L170" i="17"/>
  <c r="M170" i="17"/>
  <c r="U170" i="17"/>
  <c r="W170" i="17"/>
  <c r="X170" i="17"/>
  <c r="Z170" i="17"/>
  <c r="AA170" i="17"/>
  <c r="J171" i="17"/>
  <c r="K171" i="17"/>
  <c r="L171" i="17"/>
  <c r="M171" i="17"/>
  <c r="U171" i="17"/>
  <c r="W171" i="17"/>
  <c r="X171" i="17"/>
  <c r="Z171" i="17"/>
  <c r="AA171" i="17"/>
  <c r="J172" i="17"/>
  <c r="K172" i="17"/>
  <c r="L172" i="17"/>
  <c r="M172" i="17"/>
  <c r="U172" i="17"/>
  <c r="W172" i="17"/>
  <c r="X172" i="17"/>
  <c r="Z172" i="17"/>
  <c r="AA172" i="17"/>
  <c r="J173" i="17"/>
  <c r="K173" i="17"/>
  <c r="L173" i="17"/>
  <c r="M173" i="17"/>
  <c r="U173" i="17"/>
  <c r="W173" i="17"/>
  <c r="X173" i="17"/>
  <c r="Z173" i="17"/>
  <c r="AA173" i="17"/>
  <c r="J174" i="17"/>
  <c r="K174" i="17"/>
  <c r="L174" i="17"/>
  <c r="M174" i="17"/>
  <c r="U174" i="17"/>
  <c r="W174" i="17"/>
  <c r="X174" i="17"/>
  <c r="Z174" i="17"/>
  <c r="AA174" i="17"/>
  <c r="J175" i="17"/>
  <c r="K175" i="17"/>
  <c r="L175" i="17"/>
  <c r="M175" i="17"/>
  <c r="U175" i="17"/>
  <c r="W175" i="17"/>
  <c r="X175" i="17"/>
  <c r="Z175" i="17"/>
  <c r="AA175" i="17"/>
  <c r="J176" i="17"/>
  <c r="K176" i="17"/>
  <c r="L176" i="17"/>
  <c r="M176" i="17"/>
  <c r="U176" i="17"/>
  <c r="W176" i="17"/>
  <c r="X176" i="17"/>
  <c r="Z176" i="17"/>
  <c r="AA176" i="17"/>
  <c r="J177" i="17"/>
  <c r="K177" i="17"/>
  <c r="L177" i="17"/>
  <c r="M177" i="17"/>
  <c r="U177" i="17"/>
  <c r="W177" i="17"/>
  <c r="X177" i="17"/>
  <c r="Z177" i="17"/>
  <c r="AA177" i="17"/>
  <c r="J178" i="17"/>
  <c r="K178" i="17"/>
  <c r="L178" i="17"/>
  <c r="M178" i="17"/>
  <c r="U178" i="17"/>
  <c r="W178" i="17"/>
  <c r="X178" i="17"/>
  <c r="Z178" i="17"/>
  <c r="AA178" i="17"/>
  <c r="J179" i="17"/>
  <c r="K179" i="17"/>
  <c r="L179" i="17"/>
  <c r="M179" i="17"/>
  <c r="U179" i="17"/>
  <c r="W179" i="17"/>
  <c r="X179" i="17"/>
  <c r="Z179" i="17"/>
  <c r="AA179" i="17"/>
  <c r="J180" i="17"/>
  <c r="K180" i="17"/>
  <c r="L180" i="17"/>
  <c r="M180" i="17"/>
  <c r="U180" i="17"/>
  <c r="W180" i="17"/>
  <c r="X180" i="17"/>
  <c r="Z180" i="17"/>
  <c r="AA180" i="17"/>
  <c r="J181" i="17"/>
  <c r="K181" i="17"/>
  <c r="L181" i="17"/>
  <c r="M181" i="17"/>
  <c r="U181" i="17"/>
  <c r="W181" i="17"/>
  <c r="X181" i="17"/>
  <c r="Z181" i="17"/>
  <c r="AA181" i="17"/>
  <c r="J182" i="17"/>
  <c r="K182" i="17"/>
  <c r="U182" i="17" s="1"/>
  <c r="X182" i="17" s="1"/>
  <c r="L182" i="17"/>
  <c r="AA182" i="17" s="1"/>
  <c r="M182" i="17"/>
  <c r="W182" i="17"/>
  <c r="Z182" i="17"/>
  <c r="J183" i="17"/>
  <c r="K183" i="17"/>
  <c r="L183" i="17"/>
  <c r="M183" i="17"/>
  <c r="U183" i="17"/>
  <c r="W183" i="17"/>
  <c r="X183" i="17"/>
  <c r="Z183" i="17"/>
  <c r="AA183" i="17"/>
  <c r="J184" i="17"/>
  <c r="K184" i="17"/>
  <c r="L184" i="17"/>
  <c r="M184" i="17"/>
  <c r="U184" i="17"/>
  <c r="W184" i="17"/>
  <c r="X184" i="17"/>
  <c r="Z184" i="17"/>
  <c r="AA184" i="17"/>
  <c r="J185" i="17"/>
  <c r="K185" i="17"/>
  <c r="L185" i="17"/>
  <c r="M185" i="17"/>
  <c r="U185" i="17"/>
  <c r="W185" i="17"/>
  <c r="X185" i="17"/>
  <c r="Z185" i="17"/>
  <c r="AA185" i="17"/>
  <c r="J186" i="17"/>
  <c r="K186" i="17"/>
  <c r="L186" i="17"/>
  <c r="M186" i="17"/>
  <c r="U186" i="17"/>
  <c r="W186" i="17"/>
  <c r="X186" i="17"/>
  <c r="Z186" i="17"/>
  <c r="AA186" i="17"/>
  <c r="J187" i="17"/>
  <c r="K187" i="17"/>
  <c r="L187" i="17"/>
  <c r="M187" i="17" s="1"/>
  <c r="U187" i="17"/>
  <c r="W187" i="17"/>
  <c r="X187" i="17"/>
  <c r="Z187" i="17"/>
  <c r="AA187" i="17"/>
  <c r="J188" i="17"/>
  <c r="K188" i="17"/>
  <c r="L188" i="17"/>
  <c r="M188" i="17" s="1"/>
  <c r="U188" i="17"/>
  <c r="W188" i="17"/>
  <c r="X188" i="17"/>
  <c r="Z188" i="17"/>
  <c r="AA188" i="17"/>
  <c r="J189" i="17"/>
  <c r="K189" i="17"/>
  <c r="L189" i="17" s="1"/>
  <c r="U189" i="17"/>
  <c r="W189" i="17"/>
  <c r="X189" i="17"/>
  <c r="Z189" i="17"/>
  <c r="J190" i="17"/>
  <c r="K190" i="17"/>
  <c r="L190" i="17"/>
  <c r="M190" i="17" s="1"/>
  <c r="U190" i="17"/>
  <c r="W190" i="17"/>
  <c r="X190" i="17"/>
  <c r="Z190" i="17"/>
  <c r="AA190" i="17"/>
  <c r="J191" i="17"/>
  <c r="K191" i="17"/>
  <c r="L191" i="17" s="1"/>
  <c r="U191" i="17"/>
  <c r="W191" i="17"/>
  <c r="X191" i="17"/>
  <c r="Z191" i="17"/>
  <c r="J192" i="17"/>
  <c r="K192" i="17"/>
  <c r="L192" i="17"/>
  <c r="M192" i="17" s="1"/>
  <c r="U192" i="17"/>
  <c r="W192" i="17"/>
  <c r="X192" i="17"/>
  <c r="Z192" i="17"/>
  <c r="AA192" i="17"/>
  <c r="J193" i="17"/>
  <c r="K193" i="17"/>
  <c r="L193" i="17"/>
  <c r="M193" i="17" s="1"/>
  <c r="U193" i="17"/>
  <c r="W193" i="17"/>
  <c r="X193" i="17"/>
  <c r="Z193" i="17"/>
  <c r="AA193" i="17"/>
  <c r="J194" i="17"/>
  <c r="K194" i="17"/>
  <c r="L194" i="17"/>
  <c r="M194" i="17" s="1"/>
  <c r="U194" i="17"/>
  <c r="W194" i="17"/>
  <c r="X194" i="17"/>
  <c r="Z194" i="17"/>
  <c r="AA194" i="17"/>
  <c r="J195" i="17"/>
  <c r="K195" i="17"/>
  <c r="W195" i="17"/>
  <c r="Z195" i="17"/>
  <c r="J196" i="17"/>
  <c r="K196" i="17"/>
  <c r="L196" i="17" s="1"/>
  <c r="U196" i="17"/>
  <c r="W196" i="17"/>
  <c r="X196" i="17"/>
  <c r="Z196" i="17"/>
  <c r="J197" i="17"/>
  <c r="K197" i="17"/>
  <c r="L197" i="17" s="1"/>
  <c r="U197" i="17"/>
  <c r="W197" i="17"/>
  <c r="X197" i="17"/>
  <c r="Z197" i="17"/>
  <c r="J198" i="17"/>
  <c r="K198" i="17"/>
  <c r="W198" i="17"/>
  <c r="Z198" i="17"/>
  <c r="J199" i="17"/>
  <c r="K199" i="17"/>
  <c r="L199" i="17"/>
  <c r="M199" i="17"/>
  <c r="U199" i="17"/>
  <c r="W199" i="17"/>
  <c r="X199" i="17"/>
  <c r="Z199" i="17"/>
  <c r="AA199" i="17"/>
  <c r="J200" i="17"/>
  <c r="K200" i="17"/>
  <c r="L200" i="17"/>
  <c r="M200" i="17"/>
  <c r="U200" i="17"/>
  <c r="W200" i="17"/>
  <c r="X200" i="17"/>
  <c r="Z200" i="17"/>
  <c r="AA200" i="17"/>
  <c r="J201" i="17"/>
  <c r="K201" i="17"/>
  <c r="L201" i="17"/>
  <c r="M201" i="17"/>
  <c r="U201" i="17"/>
  <c r="W201" i="17"/>
  <c r="X201" i="17"/>
  <c r="Z201" i="17"/>
  <c r="AA201" i="17"/>
  <c r="J202" i="17"/>
  <c r="K202" i="17"/>
  <c r="L202" i="17"/>
  <c r="M202" i="17"/>
  <c r="U202" i="17"/>
  <c r="W202" i="17"/>
  <c r="X202" i="17"/>
  <c r="Z202" i="17"/>
  <c r="AA202" i="17"/>
  <c r="J203" i="17"/>
  <c r="K203" i="17"/>
  <c r="L203" i="17"/>
  <c r="M203" i="17"/>
  <c r="U203" i="17"/>
  <c r="W203" i="17"/>
  <c r="X203" i="17"/>
  <c r="Z203" i="17"/>
  <c r="AA203" i="17"/>
  <c r="J204" i="17"/>
  <c r="K204" i="17"/>
  <c r="L204" i="17" s="1"/>
  <c r="U204" i="17"/>
  <c r="W204" i="17"/>
  <c r="X204" i="17"/>
  <c r="Z204" i="17"/>
  <c r="J205" i="17"/>
  <c r="K205" i="17"/>
  <c r="L205" i="17" s="1"/>
  <c r="U205" i="17"/>
  <c r="X205" i="17" s="1"/>
  <c r="W205" i="17"/>
  <c r="Z205" i="17"/>
  <c r="J206" i="17"/>
  <c r="K206" i="17"/>
  <c r="W206" i="17"/>
  <c r="Z206" i="17"/>
  <c r="J207" i="17"/>
  <c r="K207" i="17"/>
  <c r="W207" i="17"/>
  <c r="Z207" i="17"/>
  <c r="J208" i="17"/>
  <c r="K208" i="17"/>
  <c r="W208" i="17"/>
  <c r="Z208" i="17"/>
  <c r="J209" i="17"/>
  <c r="K209" i="17"/>
  <c r="W209" i="17"/>
  <c r="Z209" i="17"/>
  <c r="J210" i="17"/>
  <c r="K210" i="17"/>
  <c r="W210" i="17"/>
  <c r="Z210" i="17"/>
  <c r="J211" i="17"/>
  <c r="K211" i="17"/>
  <c r="W211" i="17"/>
  <c r="Z211" i="17"/>
  <c r="J212" i="17"/>
  <c r="K212" i="17"/>
  <c r="W212" i="17"/>
  <c r="Z212" i="17"/>
  <c r="J213" i="17"/>
  <c r="K213" i="17"/>
  <c r="W213" i="17"/>
  <c r="Z213" i="17"/>
  <c r="J214" i="17"/>
  <c r="K214" i="17"/>
  <c r="W214" i="17"/>
  <c r="Z214" i="17"/>
  <c r="J215" i="17"/>
  <c r="K215" i="17"/>
  <c r="W215" i="17"/>
  <c r="Z215" i="17"/>
  <c r="J216" i="17"/>
  <c r="K216" i="17"/>
  <c r="W216" i="17"/>
  <c r="Z216" i="17"/>
  <c r="J217" i="17"/>
  <c r="K217" i="17"/>
  <c r="W217" i="17"/>
  <c r="Z217" i="17"/>
  <c r="J218" i="17"/>
  <c r="K218" i="17"/>
  <c r="W218" i="17"/>
  <c r="Z218" i="17"/>
  <c r="J219" i="17"/>
  <c r="K219" i="17"/>
  <c r="W219" i="17"/>
  <c r="Z219" i="17"/>
  <c r="J220" i="17"/>
  <c r="K220" i="17"/>
  <c r="W220" i="17"/>
  <c r="Z220" i="17"/>
  <c r="J221" i="17"/>
  <c r="K221" i="17"/>
  <c r="W221" i="17"/>
  <c r="Z221" i="17"/>
  <c r="J222" i="17"/>
  <c r="K222" i="17"/>
  <c r="W222" i="17"/>
  <c r="Z222" i="17"/>
  <c r="J223" i="17"/>
  <c r="K223" i="17"/>
  <c r="W223" i="17"/>
  <c r="Z223" i="17"/>
  <c r="J224" i="17"/>
  <c r="K224" i="17"/>
  <c r="W224" i="17"/>
  <c r="Z224" i="17"/>
  <c r="J225" i="17"/>
  <c r="K225" i="17"/>
  <c r="W225" i="17"/>
  <c r="Z225" i="17"/>
  <c r="J226" i="17"/>
  <c r="K226" i="17"/>
  <c r="W226" i="17"/>
  <c r="Z226" i="17"/>
  <c r="J227" i="17"/>
  <c r="K227" i="17"/>
  <c r="W227" i="17"/>
  <c r="Z227" i="17"/>
  <c r="J228" i="17"/>
  <c r="K228" i="17"/>
  <c r="W228" i="17"/>
  <c r="Z228" i="17"/>
  <c r="J229" i="17"/>
  <c r="K229" i="17"/>
  <c r="W229" i="17"/>
  <c r="Z229" i="17"/>
  <c r="J230" i="17"/>
  <c r="K230" i="17"/>
  <c r="W230" i="17"/>
  <c r="Z230" i="17"/>
  <c r="J231" i="17"/>
  <c r="K231" i="17"/>
  <c r="W231" i="17"/>
  <c r="Z231" i="17"/>
  <c r="AA231" i="17" s="1"/>
  <c r="J232" i="17"/>
  <c r="K232" i="17"/>
  <c r="W232" i="17"/>
  <c r="Z232" i="17"/>
  <c r="AA232" i="17" s="1"/>
  <c r="J233" i="17"/>
  <c r="K233" i="17"/>
  <c r="W233" i="17"/>
  <c r="Z233" i="17"/>
  <c r="AA233" i="17" s="1"/>
  <c r="J234" i="17"/>
  <c r="K234" i="17"/>
  <c r="W234" i="17"/>
  <c r="Z234" i="17"/>
  <c r="AA234" i="17"/>
  <c r="J235" i="17"/>
  <c r="K235" i="17"/>
  <c r="W235" i="17"/>
  <c r="Z235" i="17"/>
  <c r="AA235" i="17" s="1"/>
  <c r="J236" i="17"/>
  <c r="K236" i="17"/>
  <c r="W236" i="17"/>
  <c r="Z236" i="17"/>
  <c r="AA236" i="17"/>
  <c r="J237" i="17"/>
  <c r="K237" i="17"/>
  <c r="W237" i="17"/>
  <c r="Z237" i="17"/>
  <c r="AA237" i="17"/>
  <c r="J238" i="17"/>
  <c r="K238" i="17"/>
  <c r="L238" i="17"/>
  <c r="M238" i="17"/>
  <c r="U238" i="17"/>
  <c r="W238" i="17"/>
  <c r="X238" i="17"/>
  <c r="Z238" i="17"/>
  <c r="AA238" i="17"/>
  <c r="J239" i="17"/>
  <c r="K239" i="17"/>
  <c r="W239" i="17"/>
  <c r="Z239" i="17"/>
  <c r="J240" i="17"/>
  <c r="K240" i="17"/>
  <c r="W240" i="17"/>
  <c r="Z240" i="17"/>
  <c r="J241" i="17"/>
  <c r="K241" i="17"/>
  <c r="L241" i="17" s="1"/>
  <c r="U241" i="17"/>
  <c r="W241" i="17"/>
  <c r="X241" i="17"/>
  <c r="Z241" i="17"/>
  <c r="J242" i="17"/>
  <c r="K242" i="17"/>
  <c r="W242" i="17"/>
  <c r="Z242" i="17"/>
  <c r="J243" i="17"/>
  <c r="K243" i="17"/>
  <c r="W243" i="17"/>
  <c r="Z243" i="17"/>
  <c r="J244" i="17"/>
  <c r="K244" i="17"/>
  <c r="W244" i="17"/>
  <c r="Z244" i="17"/>
  <c r="J245" i="17"/>
  <c r="K245" i="17"/>
  <c r="W245" i="17"/>
  <c r="Z245" i="17"/>
  <c r="J246" i="17"/>
  <c r="K246" i="17"/>
  <c r="W246" i="17"/>
  <c r="Z246" i="17"/>
  <c r="J247" i="17"/>
  <c r="K247" i="17"/>
  <c r="W247" i="17"/>
  <c r="Z247" i="17"/>
  <c r="J248" i="17"/>
  <c r="K248" i="17"/>
  <c r="W248" i="17"/>
  <c r="Z248" i="17"/>
  <c r="J249" i="17"/>
  <c r="K249" i="17"/>
  <c r="W249" i="17"/>
  <c r="Z249" i="17"/>
  <c r="J250" i="17"/>
  <c r="K250" i="17"/>
  <c r="W250" i="17"/>
  <c r="Z250" i="17"/>
  <c r="J251" i="17"/>
  <c r="K251" i="17"/>
  <c r="L251" i="17" s="1"/>
  <c r="U251" i="17"/>
  <c r="W251" i="17"/>
  <c r="X251" i="17"/>
  <c r="Z251" i="17"/>
  <c r="J252" i="17"/>
  <c r="K252" i="17"/>
  <c r="W252" i="17"/>
  <c r="Z252" i="17" s="1"/>
  <c r="J253" i="17"/>
  <c r="K253" i="17"/>
  <c r="L253" i="17" s="1"/>
  <c r="U253" i="17"/>
  <c r="X253" i="17" s="1"/>
  <c r="W253" i="17"/>
  <c r="Z253" i="17"/>
  <c r="J254" i="17"/>
  <c r="K254" i="17"/>
  <c r="W254" i="17"/>
  <c r="Z254" i="17"/>
  <c r="J255" i="17"/>
  <c r="K255" i="17"/>
  <c r="W255" i="17"/>
  <c r="Z255" i="17"/>
  <c r="J256" i="17"/>
  <c r="K256" i="17"/>
  <c r="W256" i="17"/>
  <c r="Z256" i="17"/>
  <c r="J257" i="17"/>
  <c r="K257" i="17"/>
  <c r="W257" i="17"/>
  <c r="Z257" i="17"/>
  <c r="J258" i="17"/>
  <c r="K258" i="17"/>
  <c r="L258" i="17" s="1"/>
  <c r="U258" i="17"/>
  <c r="W258" i="17"/>
  <c r="X258" i="17"/>
  <c r="Z258" i="17"/>
  <c r="J259" i="17"/>
  <c r="K259" i="17"/>
  <c r="W259" i="17"/>
  <c r="Z259" i="17"/>
  <c r="J260" i="17"/>
  <c r="K260" i="17"/>
  <c r="W260" i="17"/>
  <c r="Z260" i="17"/>
  <c r="J261" i="17"/>
  <c r="K261" i="17"/>
  <c r="L261" i="17" s="1"/>
  <c r="U261" i="17"/>
  <c r="X261" i="17" s="1"/>
  <c r="W261" i="17"/>
  <c r="Z261" i="17"/>
  <c r="J262" i="17"/>
  <c r="K262" i="17"/>
  <c r="W262" i="17"/>
  <c r="Z262" i="17"/>
  <c r="J263" i="17"/>
  <c r="K263" i="17"/>
  <c r="W263" i="17"/>
  <c r="Z263" i="17"/>
  <c r="J264" i="17"/>
  <c r="K264" i="17"/>
  <c r="W264" i="17"/>
  <c r="Z264" i="17"/>
  <c r="J265" i="17"/>
  <c r="K265" i="17"/>
  <c r="W265" i="17"/>
  <c r="Z265" i="17"/>
  <c r="J266" i="17"/>
  <c r="K266" i="17"/>
  <c r="W266" i="17"/>
  <c r="Z266" i="17"/>
  <c r="J267" i="17"/>
  <c r="K267" i="17"/>
  <c r="W267" i="17"/>
  <c r="Z267" i="17"/>
  <c r="J268" i="17"/>
  <c r="K268" i="17"/>
  <c r="W268" i="17"/>
  <c r="Z268" i="17"/>
  <c r="J269" i="17"/>
  <c r="K269" i="17"/>
  <c r="W269" i="17"/>
  <c r="Z269" i="17"/>
  <c r="J270" i="17"/>
  <c r="K270" i="17"/>
  <c r="W270" i="17"/>
  <c r="Z270" i="17"/>
  <c r="J271" i="17"/>
  <c r="K271" i="17"/>
  <c r="W271" i="17"/>
  <c r="Z271" i="17"/>
  <c r="J272" i="17"/>
  <c r="K272" i="17"/>
  <c r="W272" i="17"/>
  <c r="Z272" i="17"/>
  <c r="J273" i="17"/>
  <c r="K273" i="17"/>
  <c r="W273" i="17"/>
  <c r="Z273" i="17"/>
  <c r="J274" i="17"/>
  <c r="K274" i="17"/>
  <c r="W274" i="17"/>
  <c r="Z274" i="17"/>
  <c r="J275" i="17"/>
  <c r="K275" i="17"/>
  <c r="W275" i="17"/>
  <c r="Z275" i="17"/>
  <c r="K276" i="17"/>
  <c r="L276" i="17"/>
  <c r="M276" i="17" s="1"/>
  <c r="U276" i="17"/>
  <c r="W276" i="17"/>
  <c r="X276" i="17"/>
  <c r="Z276" i="17"/>
  <c r="AA276" i="17"/>
  <c r="K277" i="17"/>
  <c r="L277" i="17"/>
  <c r="U277" i="17"/>
  <c r="W277" i="17"/>
  <c r="X277" i="17"/>
  <c r="Z277" i="17"/>
  <c r="AA277" i="17"/>
  <c r="K278" i="17"/>
  <c r="L278" i="17"/>
  <c r="M278" i="17" s="1"/>
  <c r="U278" i="17"/>
  <c r="W278" i="17"/>
  <c r="X278" i="17"/>
  <c r="Z278" i="17"/>
  <c r="AA278" i="17"/>
  <c r="K279" i="17"/>
  <c r="L279" i="17"/>
  <c r="M279" i="17" s="1"/>
  <c r="U279" i="17"/>
  <c r="W279" i="17"/>
  <c r="X279" i="17"/>
  <c r="Z279" i="17"/>
  <c r="AA279" i="17"/>
  <c r="K280" i="17"/>
  <c r="L280" i="17"/>
  <c r="M280" i="17"/>
  <c r="U280" i="17"/>
  <c r="W280" i="17"/>
  <c r="X280" i="17"/>
  <c r="Z280" i="17"/>
  <c r="AA280" i="17"/>
  <c r="K281" i="17"/>
  <c r="L281" i="17"/>
  <c r="M281" i="17"/>
  <c r="U281" i="17"/>
  <c r="W281" i="17"/>
  <c r="X281" i="17"/>
  <c r="Z281" i="17"/>
  <c r="AA281" i="17"/>
  <c r="K282" i="17"/>
  <c r="L282" i="17"/>
  <c r="M282" i="17"/>
  <c r="U282" i="17"/>
  <c r="W282" i="17"/>
  <c r="X282" i="17"/>
  <c r="AA282" i="17" s="1"/>
  <c r="Z282" i="17"/>
  <c r="K283" i="17"/>
  <c r="L283" i="17" s="1"/>
  <c r="U283" i="17"/>
  <c r="X283" i="17" s="1"/>
  <c r="W283" i="17"/>
  <c r="Z283" i="17"/>
  <c r="J284" i="17"/>
  <c r="K284" i="17"/>
  <c r="W284" i="17"/>
  <c r="Z284" i="17"/>
  <c r="J285" i="17"/>
  <c r="K285" i="17"/>
  <c r="W285" i="17"/>
  <c r="Z285" i="17"/>
  <c r="J286" i="17"/>
  <c r="K286" i="17"/>
  <c r="W286" i="17"/>
  <c r="Z286" i="17"/>
  <c r="J287" i="17"/>
  <c r="K287" i="17"/>
  <c r="W287" i="17"/>
  <c r="Z287" i="17"/>
  <c r="J288" i="17"/>
  <c r="K288" i="17"/>
  <c r="W288" i="17"/>
  <c r="Z288" i="17"/>
  <c r="J289" i="17"/>
  <c r="K289" i="17"/>
  <c r="L289" i="17" s="1"/>
  <c r="U289" i="17"/>
  <c r="W289" i="17"/>
  <c r="X289" i="17"/>
  <c r="Z289" i="17"/>
  <c r="J290" i="17"/>
  <c r="K290" i="17"/>
  <c r="W290" i="17"/>
  <c r="Z290" i="17"/>
  <c r="J291" i="17"/>
  <c r="K291" i="17"/>
  <c r="L291" i="17" s="1"/>
  <c r="U291" i="17"/>
  <c r="W291" i="17"/>
  <c r="X291" i="17"/>
  <c r="Z291" i="17"/>
  <c r="J292" i="17"/>
  <c r="K292" i="17"/>
  <c r="W292" i="17"/>
  <c r="Z292" i="17"/>
  <c r="J293" i="17"/>
  <c r="K293" i="17"/>
  <c r="W293" i="17"/>
  <c r="Z293" i="17"/>
  <c r="J294" i="17"/>
  <c r="K294" i="17"/>
  <c r="W294" i="17"/>
  <c r="Z294" i="17"/>
  <c r="J295" i="17"/>
  <c r="K295" i="17"/>
  <c r="W295" i="17"/>
  <c r="Z295" i="17"/>
  <c r="J296" i="17"/>
  <c r="K296" i="17"/>
  <c r="W296" i="17"/>
  <c r="Z296" i="17"/>
  <c r="J297" i="17"/>
  <c r="K297" i="17"/>
  <c r="W297" i="17"/>
  <c r="Z297" i="17"/>
  <c r="J298" i="17"/>
  <c r="K298" i="17"/>
  <c r="W298" i="17"/>
  <c r="Z298" i="17"/>
  <c r="J299" i="17"/>
  <c r="K299" i="17"/>
  <c r="W299" i="17"/>
  <c r="Z299" i="17"/>
  <c r="J300" i="17"/>
  <c r="K300" i="17"/>
  <c r="W300" i="17"/>
  <c r="Z300" i="17"/>
  <c r="J301" i="17"/>
  <c r="K301" i="17"/>
  <c r="W301" i="17"/>
  <c r="Z301" i="17"/>
  <c r="J302" i="17"/>
  <c r="K302" i="17"/>
  <c r="W302" i="17"/>
  <c r="Z302" i="17"/>
  <c r="J303" i="17"/>
  <c r="K303" i="17"/>
  <c r="W303" i="17"/>
  <c r="Z303" i="17"/>
  <c r="J304" i="17"/>
  <c r="K304" i="17"/>
  <c r="W304" i="17"/>
  <c r="Z304" i="17"/>
  <c r="J305" i="17"/>
  <c r="K305" i="17"/>
  <c r="W305" i="17"/>
  <c r="Z305" i="17"/>
  <c r="J306" i="17"/>
  <c r="K306" i="17"/>
  <c r="W306" i="17"/>
  <c r="Z306" i="17"/>
  <c r="J307" i="17"/>
  <c r="K307" i="17"/>
  <c r="W307" i="17"/>
  <c r="Z307" i="17"/>
  <c r="J308" i="17"/>
  <c r="K308" i="17"/>
  <c r="W308" i="17"/>
  <c r="Z308" i="17"/>
  <c r="J309" i="17"/>
  <c r="K309" i="17"/>
  <c r="W309" i="17"/>
  <c r="Z309" i="17"/>
  <c r="J310" i="17"/>
  <c r="K310" i="17"/>
  <c r="W310" i="17"/>
  <c r="Z310" i="17"/>
  <c r="J311" i="17"/>
  <c r="K311" i="17"/>
  <c r="W311" i="17"/>
  <c r="Z311" i="17"/>
  <c r="J312" i="17"/>
  <c r="K312" i="17"/>
  <c r="W312" i="17"/>
  <c r="Z312" i="17"/>
  <c r="J313" i="17"/>
  <c r="K313" i="17"/>
  <c r="W313" i="17"/>
  <c r="Z313" i="17"/>
  <c r="J314" i="17"/>
  <c r="K314" i="17"/>
  <c r="W314" i="17"/>
  <c r="Z314" i="17"/>
  <c r="J315" i="17"/>
  <c r="K315" i="17"/>
  <c r="L315" i="17" s="1"/>
  <c r="U315" i="17"/>
  <c r="W315" i="17"/>
  <c r="X315" i="17"/>
  <c r="Z315" i="17"/>
  <c r="J316" i="17"/>
  <c r="K316" i="17"/>
  <c r="W316" i="17"/>
  <c r="Z316" i="17"/>
  <c r="J317" i="17"/>
  <c r="K317" i="17"/>
  <c r="L317" i="17" s="1"/>
  <c r="U317" i="17"/>
  <c r="W317" i="17"/>
  <c r="X317" i="17"/>
  <c r="Z317" i="17"/>
  <c r="J318" i="17"/>
  <c r="K318" i="17"/>
  <c r="W318" i="17"/>
  <c r="Z318" i="17"/>
  <c r="J319" i="17"/>
  <c r="K319" i="17"/>
  <c r="W319" i="17"/>
  <c r="Z319" i="17"/>
  <c r="J320" i="17"/>
  <c r="K320" i="17"/>
  <c r="W320" i="17"/>
  <c r="Z320" i="17"/>
  <c r="J321" i="17"/>
  <c r="K321" i="17"/>
  <c r="W321" i="17"/>
  <c r="Z321" i="17"/>
  <c r="J322" i="17"/>
  <c r="K322" i="17"/>
  <c r="W322" i="17"/>
  <c r="Z322" i="17"/>
  <c r="J323" i="17"/>
  <c r="K323" i="17"/>
  <c r="W323" i="17"/>
  <c r="Z323" i="17"/>
  <c r="J324" i="17"/>
  <c r="K324" i="17"/>
  <c r="L324" i="17" s="1"/>
  <c r="U324" i="17"/>
  <c r="W324" i="17"/>
  <c r="Z324" i="17"/>
  <c r="J325" i="17"/>
  <c r="K325" i="17"/>
  <c r="W325" i="17"/>
  <c r="Z325" i="17"/>
  <c r="J326" i="17"/>
  <c r="K326" i="17"/>
  <c r="L326" i="17" s="1"/>
  <c r="U326" i="17"/>
  <c r="W326" i="17"/>
  <c r="X326" i="17"/>
  <c r="Z326" i="17"/>
  <c r="J327" i="17"/>
  <c r="K327" i="17"/>
  <c r="W327" i="17"/>
  <c r="Z327" i="17"/>
  <c r="J328" i="17"/>
  <c r="K328" i="17"/>
  <c r="W328" i="17"/>
  <c r="Z328" i="17"/>
  <c r="J329" i="17"/>
  <c r="K329" i="17"/>
  <c r="L329" i="17" s="1"/>
  <c r="U329" i="17"/>
  <c r="W329" i="17"/>
  <c r="X329" i="17"/>
  <c r="Z329" i="17"/>
  <c r="J330" i="17"/>
  <c r="K330" i="17"/>
  <c r="W330" i="17"/>
  <c r="Z330" i="17"/>
  <c r="J331" i="17"/>
  <c r="K331" i="17"/>
  <c r="W331" i="17"/>
  <c r="Z331" i="17"/>
  <c r="J332" i="17"/>
  <c r="K332" i="17"/>
  <c r="W332" i="17"/>
  <c r="Z332" i="17"/>
  <c r="J333" i="17"/>
  <c r="K333" i="17"/>
  <c r="L333" i="17" s="1"/>
  <c r="U333" i="17"/>
  <c r="W333" i="17"/>
  <c r="X333" i="17"/>
  <c r="Z333" i="17"/>
  <c r="J334" i="17"/>
  <c r="K334" i="17"/>
  <c r="W334" i="17"/>
  <c r="Z334" i="17"/>
  <c r="J335" i="17"/>
  <c r="K335" i="17"/>
  <c r="L335" i="17" s="1"/>
  <c r="U335" i="17"/>
  <c r="W335" i="17"/>
  <c r="X335" i="17"/>
  <c r="Z335" i="17"/>
  <c r="J336" i="17"/>
  <c r="K336" i="17"/>
  <c r="W336" i="17"/>
  <c r="Z336" i="17"/>
  <c r="J337" i="17"/>
  <c r="K337" i="17"/>
  <c r="W337" i="17"/>
  <c r="Z337" i="17"/>
  <c r="J338" i="17"/>
  <c r="K338" i="17"/>
  <c r="W338" i="17"/>
  <c r="Z338" i="17"/>
  <c r="J339" i="17"/>
  <c r="K339" i="17"/>
  <c r="W339" i="17"/>
  <c r="Z339" i="17"/>
  <c r="J340" i="17"/>
  <c r="K340" i="17"/>
  <c r="W340" i="17"/>
  <c r="Z340" i="17"/>
  <c r="K341" i="17"/>
  <c r="L341" i="17"/>
  <c r="M341" i="17"/>
  <c r="U341" i="17"/>
  <c r="W341" i="17"/>
  <c r="X341" i="17"/>
  <c r="Z341" i="17"/>
  <c r="AA341" i="17"/>
  <c r="J342" i="17"/>
  <c r="K342" i="17"/>
  <c r="W342" i="17"/>
  <c r="Z342" i="17"/>
  <c r="J343" i="17"/>
  <c r="K343" i="17"/>
  <c r="W343" i="17"/>
  <c r="Z343" i="17"/>
  <c r="J344" i="17"/>
  <c r="K344" i="17"/>
  <c r="W344" i="17"/>
  <c r="Z344" i="17"/>
  <c r="J345" i="17"/>
  <c r="K345" i="17"/>
  <c r="W345" i="17"/>
  <c r="Z345" i="17"/>
  <c r="J346" i="17"/>
  <c r="K346" i="17"/>
  <c r="W346" i="17"/>
  <c r="Z346" i="17"/>
  <c r="J347" i="17"/>
  <c r="K347" i="17"/>
  <c r="W347" i="17"/>
  <c r="Z347" i="17"/>
  <c r="K348" i="17"/>
  <c r="L348" i="17"/>
  <c r="M348" i="17" s="1"/>
  <c r="U348" i="17"/>
  <c r="W348" i="17"/>
  <c r="X348" i="17"/>
  <c r="Z348" i="17"/>
  <c r="AA348" i="17"/>
  <c r="J349" i="17"/>
  <c r="K349" i="17"/>
  <c r="W349" i="17"/>
  <c r="Z349" i="17"/>
  <c r="J350" i="17"/>
  <c r="K350" i="17"/>
  <c r="W350" i="17"/>
  <c r="Z350" i="17"/>
  <c r="K351" i="17"/>
  <c r="L351" i="17"/>
  <c r="U351" i="17"/>
  <c r="W351" i="17"/>
  <c r="X351" i="17"/>
  <c r="Z351" i="17"/>
  <c r="K352" i="17"/>
  <c r="L352" i="17"/>
  <c r="M352" i="17" s="1"/>
  <c r="U352" i="17"/>
  <c r="W352" i="17"/>
  <c r="X352" i="17"/>
  <c r="Z352" i="17"/>
  <c r="AA352" i="17"/>
  <c r="J353" i="17"/>
  <c r="K353" i="17"/>
  <c r="L353" i="17"/>
  <c r="M353" i="17" s="1"/>
  <c r="U353" i="17"/>
  <c r="W353" i="17"/>
  <c r="X353" i="17"/>
  <c r="Z353" i="17"/>
  <c r="AA353" i="17"/>
  <c r="J354" i="17"/>
  <c r="K354" i="17"/>
  <c r="W354" i="17"/>
  <c r="Z354" i="17"/>
  <c r="J355" i="17"/>
  <c r="K355" i="17"/>
  <c r="W355" i="17"/>
  <c r="Z355" i="17"/>
  <c r="J356" i="17"/>
  <c r="K356" i="17"/>
  <c r="W356" i="17"/>
  <c r="Z356" i="17"/>
  <c r="J357" i="17"/>
  <c r="K357" i="17"/>
  <c r="W357" i="17"/>
  <c r="Z357" i="17"/>
  <c r="J358" i="17"/>
  <c r="K358" i="17"/>
  <c r="W358" i="17"/>
  <c r="Z358" i="17"/>
  <c r="J359" i="17"/>
  <c r="K359" i="17"/>
  <c r="W359" i="17"/>
  <c r="Z359" i="17"/>
  <c r="J360" i="17"/>
  <c r="K360" i="17"/>
  <c r="W360" i="17"/>
  <c r="Z360" i="17"/>
  <c r="J361" i="17"/>
  <c r="K361" i="17"/>
  <c r="L361" i="17" s="1"/>
  <c r="U361" i="17"/>
  <c r="W361" i="17"/>
  <c r="X361" i="17"/>
  <c r="Z361" i="17"/>
  <c r="J362" i="17"/>
  <c r="K362" i="17"/>
  <c r="L362" i="17"/>
  <c r="M362" i="17" s="1"/>
  <c r="U362" i="17"/>
  <c r="W362" i="17"/>
  <c r="X362" i="17"/>
  <c r="Z362" i="17"/>
  <c r="AA362" i="17"/>
  <c r="J363" i="17"/>
  <c r="K363" i="17"/>
  <c r="L363" i="17" s="1"/>
  <c r="U363" i="17"/>
  <c r="X363" i="17" s="1"/>
  <c r="W363" i="17"/>
  <c r="Z363" i="17"/>
  <c r="S365" i="17"/>
  <c r="L366" i="17"/>
  <c r="G3" i="1"/>
  <c r="O10" i="17" l="1"/>
  <c r="X95" i="17"/>
  <c r="V95" i="17"/>
  <c r="N95" i="17"/>
  <c r="AA95" i="17"/>
  <c r="AB95" i="17" s="1"/>
  <c r="V144" i="17"/>
  <c r="V18" i="17"/>
  <c r="Y144" i="17"/>
  <c r="Y18" i="17"/>
  <c r="AB144" i="17"/>
  <c r="AB18" i="17"/>
  <c r="AA189" i="17"/>
  <c r="M189" i="17"/>
  <c r="AA191" i="17"/>
  <c r="M191" i="17"/>
  <c r="U195" i="17"/>
  <c r="L195" i="17"/>
  <c r="N179" i="17" s="1"/>
  <c r="O179" i="17" s="1"/>
  <c r="M196" i="17"/>
  <c r="AA196" i="17"/>
  <c r="AA197" i="17"/>
  <c r="M197" i="17"/>
  <c r="L198" i="17"/>
  <c r="U198" i="17"/>
  <c r="X198" i="17" s="1"/>
  <c r="AA204" i="17"/>
  <c r="M204" i="17"/>
  <c r="AA205" i="17"/>
  <c r="M205" i="17"/>
  <c r="L206" i="17"/>
  <c r="U206" i="17"/>
  <c r="L207" i="17"/>
  <c r="U207" i="17"/>
  <c r="X207" i="17" s="1"/>
  <c r="U208" i="17"/>
  <c r="X208" i="17" s="1"/>
  <c r="L208" i="17"/>
  <c r="L209" i="17"/>
  <c r="U209" i="17"/>
  <c r="X209" i="17" s="1"/>
  <c r="U210" i="17"/>
  <c r="X210" i="17" s="1"/>
  <c r="L210" i="17"/>
  <c r="L211" i="17"/>
  <c r="U211" i="17"/>
  <c r="X211" i="17" s="1"/>
  <c r="L212" i="17"/>
  <c r="U212" i="17"/>
  <c r="X212" i="17" s="1"/>
  <c r="L213" i="17"/>
  <c r="U213" i="17"/>
  <c r="X213" i="17" s="1"/>
  <c r="U214" i="17"/>
  <c r="X214" i="17" s="1"/>
  <c r="L214" i="17"/>
  <c r="U215" i="17"/>
  <c r="X215" i="17" s="1"/>
  <c r="L215" i="17"/>
  <c r="U216" i="17"/>
  <c r="X216" i="17" s="1"/>
  <c r="L216" i="17"/>
  <c r="L217" i="17"/>
  <c r="U217" i="17"/>
  <c r="X217" i="17" s="1"/>
  <c r="U218" i="17"/>
  <c r="X218" i="17" s="1"/>
  <c r="L218" i="17"/>
  <c r="U219" i="17"/>
  <c r="X219" i="17" s="1"/>
  <c r="L219" i="17"/>
  <c r="L220" i="17"/>
  <c r="U220" i="17"/>
  <c r="X220" i="17" s="1"/>
  <c r="U221" i="17"/>
  <c r="X221" i="17" s="1"/>
  <c r="L221" i="17"/>
  <c r="L222" i="17"/>
  <c r="U222" i="17"/>
  <c r="X222" i="17" s="1"/>
  <c r="U223" i="17"/>
  <c r="X223" i="17" s="1"/>
  <c r="L223" i="17"/>
  <c r="U224" i="17"/>
  <c r="X224" i="17" s="1"/>
  <c r="L224" i="17"/>
  <c r="L225" i="17"/>
  <c r="U225" i="17"/>
  <c r="X225" i="17" s="1"/>
  <c r="U226" i="17"/>
  <c r="X226" i="17" s="1"/>
  <c r="L226" i="17"/>
  <c r="U227" i="17"/>
  <c r="X227" i="17" s="1"/>
  <c r="L227" i="17"/>
  <c r="U228" i="17"/>
  <c r="X228" i="17" s="1"/>
  <c r="L228" i="17"/>
  <c r="U229" i="17"/>
  <c r="X229" i="17" s="1"/>
  <c r="L229" i="17"/>
  <c r="L230" i="17"/>
  <c r="U230" i="17"/>
  <c r="X230" i="17" s="1"/>
  <c r="L231" i="17"/>
  <c r="M231" i="17" s="1"/>
  <c r="U231" i="17"/>
  <c r="X231" i="17" s="1"/>
  <c r="L232" i="17"/>
  <c r="M232" i="17" s="1"/>
  <c r="U232" i="17"/>
  <c r="X232" i="17" s="1"/>
  <c r="L233" i="17"/>
  <c r="M233" i="17" s="1"/>
  <c r="U233" i="17"/>
  <c r="X233" i="17" s="1"/>
  <c r="L234" i="17"/>
  <c r="M234" i="17" s="1"/>
  <c r="U234" i="17"/>
  <c r="X234" i="17" s="1"/>
  <c r="L235" i="17"/>
  <c r="M235" i="17" s="1"/>
  <c r="U235" i="17"/>
  <c r="X235" i="17" s="1"/>
  <c r="U236" i="17"/>
  <c r="X236" i="17" s="1"/>
  <c r="L236" i="17"/>
  <c r="M236" i="17" s="1"/>
  <c r="U237" i="17"/>
  <c r="X237" i="17" s="1"/>
  <c r="L237" i="17"/>
  <c r="M237" i="17" s="1"/>
  <c r="L239" i="17"/>
  <c r="U239" i="17"/>
  <c r="U240" i="17"/>
  <c r="X240" i="17" s="1"/>
  <c r="L240" i="17"/>
  <c r="AA241" i="17"/>
  <c r="M241" i="17"/>
  <c r="L242" i="17"/>
  <c r="N241" i="17" s="1"/>
  <c r="O241" i="17" s="1"/>
  <c r="U242" i="17"/>
  <c r="L243" i="17"/>
  <c r="U243" i="17"/>
  <c r="X243" i="17" s="1"/>
  <c r="U244" i="17"/>
  <c r="X244" i="17" s="1"/>
  <c r="L244" i="17"/>
  <c r="L245" i="17"/>
  <c r="U245" i="17"/>
  <c r="X245" i="17" s="1"/>
  <c r="U246" i="17"/>
  <c r="X246" i="17" s="1"/>
  <c r="L246" i="17"/>
  <c r="U247" i="17"/>
  <c r="X247" i="17" s="1"/>
  <c r="L247" i="17"/>
  <c r="U248" i="17"/>
  <c r="X248" i="17" s="1"/>
  <c r="L248" i="17"/>
  <c r="U249" i="17"/>
  <c r="X249" i="17" s="1"/>
  <c r="L249" i="17"/>
  <c r="U250" i="17"/>
  <c r="X250" i="17" s="1"/>
  <c r="L250" i="17"/>
  <c r="AA251" i="17"/>
  <c r="M251" i="17"/>
  <c r="L252" i="17"/>
  <c r="N251" i="17" s="1"/>
  <c r="O251" i="17" s="1"/>
  <c r="U252" i="17"/>
  <c r="AA253" i="17"/>
  <c r="M253" i="17"/>
  <c r="U254" i="17"/>
  <c r="X254" i="17" s="1"/>
  <c r="L254" i="17"/>
  <c r="L255" i="17"/>
  <c r="U255" i="17"/>
  <c r="X255" i="17" s="1"/>
  <c r="U256" i="17"/>
  <c r="L256" i="17"/>
  <c r="L257" i="17"/>
  <c r="U257" i="17"/>
  <c r="X257" i="17" s="1"/>
  <c r="AA258" i="17"/>
  <c r="M258" i="17"/>
  <c r="U259" i="17"/>
  <c r="L259" i="17"/>
  <c r="L260" i="17"/>
  <c r="U260" i="17"/>
  <c r="X260" i="17" s="1"/>
  <c r="AA261" i="17"/>
  <c r="M261" i="17"/>
  <c r="U262" i="17"/>
  <c r="X262" i="17" s="1"/>
  <c r="L262" i="17"/>
  <c r="U263" i="17"/>
  <c r="X263" i="17" s="1"/>
  <c r="L263" i="17"/>
  <c r="L264" i="17"/>
  <c r="U264" i="17"/>
  <c r="X264" i="17" s="1"/>
  <c r="U265" i="17"/>
  <c r="X265" i="17" s="1"/>
  <c r="L265" i="17"/>
  <c r="U266" i="17"/>
  <c r="X266" i="17" s="1"/>
  <c r="L266" i="17"/>
  <c r="U267" i="17"/>
  <c r="X267" i="17" s="1"/>
  <c r="L267" i="17"/>
  <c r="L268" i="17"/>
  <c r="U268" i="17"/>
  <c r="X268" i="17" s="1"/>
  <c r="L269" i="17"/>
  <c r="U269" i="17"/>
  <c r="X269" i="17" s="1"/>
  <c r="U270" i="17"/>
  <c r="X270" i="17" s="1"/>
  <c r="L270" i="17"/>
  <c r="L271" i="17"/>
  <c r="U271" i="17"/>
  <c r="X271" i="17" s="1"/>
  <c r="U272" i="17"/>
  <c r="X272" i="17" s="1"/>
  <c r="L272" i="17"/>
  <c r="U273" i="17"/>
  <c r="X273" i="17" s="1"/>
  <c r="L273" i="17"/>
  <c r="L274" i="17"/>
  <c r="U274" i="17"/>
  <c r="X274" i="17" s="1"/>
  <c r="L275" i="17"/>
  <c r="U275" i="17"/>
  <c r="X275" i="17" s="1"/>
  <c r="M277" i="17"/>
  <c r="M283" i="17"/>
  <c r="AA283" i="17"/>
  <c r="U284" i="17"/>
  <c r="L284" i="17"/>
  <c r="N276" i="17" s="1"/>
  <c r="O276" i="17" s="1"/>
  <c r="U285" i="17"/>
  <c r="X285" i="17" s="1"/>
  <c r="L285" i="17"/>
  <c r="L286" i="17"/>
  <c r="U286" i="17"/>
  <c r="X286" i="17" s="1"/>
  <c r="U287" i="17"/>
  <c r="X287" i="17" s="1"/>
  <c r="L287" i="17"/>
  <c r="L288" i="17"/>
  <c r="U288" i="17"/>
  <c r="X288" i="17" s="1"/>
  <c r="AA289" i="17"/>
  <c r="M289" i="17"/>
  <c r="L290" i="17"/>
  <c r="N289" i="17" s="1"/>
  <c r="O289" i="17" s="1"/>
  <c r="U290" i="17"/>
  <c r="AA291" i="17"/>
  <c r="M291" i="17"/>
  <c r="L292" i="17"/>
  <c r="U292" i="17"/>
  <c r="X292" i="17" s="1"/>
  <c r="U293" i="17"/>
  <c r="X293" i="17" s="1"/>
  <c r="L293" i="17"/>
  <c r="L294" i="17"/>
  <c r="U294" i="17"/>
  <c r="X294" i="17" s="1"/>
  <c r="L295" i="17"/>
  <c r="U295" i="17"/>
  <c r="X295" i="17" s="1"/>
  <c r="U296" i="17"/>
  <c r="X296" i="17" s="1"/>
  <c r="L296" i="17"/>
  <c r="L297" i="17"/>
  <c r="U297" i="17"/>
  <c r="X297" i="17" s="1"/>
  <c r="L298" i="17"/>
  <c r="U298" i="17"/>
  <c r="X298" i="17" s="1"/>
  <c r="U299" i="17"/>
  <c r="X299" i="17" s="1"/>
  <c r="L299" i="17"/>
  <c r="L300" i="17"/>
  <c r="U300" i="17"/>
  <c r="X300" i="17" s="1"/>
  <c r="L301" i="17"/>
  <c r="U301" i="17"/>
  <c r="X301" i="17" s="1"/>
  <c r="U302" i="17"/>
  <c r="X302" i="17" s="1"/>
  <c r="L302" i="17"/>
  <c r="L303" i="17"/>
  <c r="U303" i="17"/>
  <c r="X303" i="17" s="1"/>
  <c r="U304" i="17"/>
  <c r="X304" i="17" s="1"/>
  <c r="L304" i="17"/>
  <c r="L305" i="17"/>
  <c r="U305" i="17"/>
  <c r="X305" i="17" s="1"/>
  <c r="L306" i="17"/>
  <c r="U306" i="17"/>
  <c r="X306" i="17" s="1"/>
  <c r="U307" i="17"/>
  <c r="X307" i="17" s="1"/>
  <c r="L307" i="17"/>
  <c r="L308" i="17"/>
  <c r="U308" i="17"/>
  <c r="X308" i="17" s="1"/>
  <c r="L309" i="17"/>
  <c r="U309" i="17"/>
  <c r="X309" i="17" s="1"/>
  <c r="U310" i="17"/>
  <c r="X310" i="17" s="1"/>
  <c r="L310" i="17"/>
  <c r="L311" i="17"/>
  <c r="U311" i="17"/>
  <c r="X311" i="17" s="1"/>
  <c r="U312" i="17"/>
  <c r="X312" i="17" s="1"/>
  <c r="L312" i="17"/>
  <c r="L313" i="17"/>
  <c r="U313" i="17"/>
  <c r="X313" i="17" s="1"/>
  <c r="L314" i="17"/>
  <c r="U314" i="17"/>
  <c r="X314" i="17" s="1"/>
  <c r="AA315" i="17"/>
  <c r="M315" i="17"/>
  <c r="U316" i="17"/>
  <c r="L316" i="17"/>
  <c r="N315" i="17" s="1"/>
  <c r="O315" i="17" s="1"/>
  <c r="AA317" i="17"/>
  <c r="M317" i="17"/>
  <c r="L318" i="17"/>
  <c r="N317" i="17" s="1"/>
  <c r="O317" i="17" s="1"/>
  <c r="U318" i="17"/>
  <c r="L319" i="17"/>
  <c r="U319" i="17"/>
  <c r="X319" i="17" s="1"/>
  <c r="L320" i="17"/>
  <c r="U320" i="17"/>
  <c r="X320" i="17" s="1"/>
  <c r="U321" i="17"/>
  <c r="X321" i="17" s="1"/>
  <c r="L321" i="17"/>
  <c r="L322" i="17"/>
  <c r="U322" i="17"/>
  <c r="X322" i="17" s="1"/>
  <c r="U323" i="17"/>
  <c r="X323" i="17" s="1"/>
  <c r="L323" i="17"/>
  <c r="M324" i="17"/>
  <c r="X324" i="17"/>
  <c r="AA324" i="17" s="1"/>
  <c r="L325" i="17"/>
  <c r="N324" i="17" s="1"/>
  <c r="O324" i="17" s="1"/>
  <c r="U325" i="17"/>
  <c r="AA326" i="17"/>
  <c r="M326" i="17"/>
  <c r="L327" i="17"/>
  <c r="N326" i="17" s="1"/>
  <c r="O326" i="17" s="1"/>
  <c r="U327" i="17"/>
  <c r="U328" i="17"/>
  <c r="X328" i="17" s="1"/>
  <c r="L328" i="17"/>
  <c r="AA329" i="17"/>
  <c r="M329" i="17"/>
  <c r="L330" i="17"/>
  <c r="N329" i="17" s="1"/>
  <c r="O329" i="17" s="1"/>
  <c r="U330" i="17"/>
  <c r="U331" i="17"/>
  <c r="X331" i="17" s="1"/>
  <c r="L331" i="17"/>
  <c r="L332" i="17"/>
  <c r="U332" i="17"/>
  <c r="X332" i="17" s="1"/>
  <c r="AA333" i="17"/>
  <c r="M333" i="17"/>
  <c r="L334" i="17"/>
  <c r="N333" i="17" s="1"/>
  <c r="O333" i="17" s="1"/>
  <c r="U334" i="17"/>
  <c r="AA335" i="17"/>
  <c r="M335" i="17"/>
  <c r="U336" i="17"/>
  <c r="L336" i="17"/>
  <c r="N335" i="17" s="1"/>
  <c r="O335" i="17" s="1"/>
  <c r="U337" i="17"/>
  <c r="X337" i="17" s="1"/>
  <c r="L337" i="17"/>
  <c r="U338" i="17"/>
  <c r="X338" i="17" s="1"/>
  <c r="L338" i="17"/>
  <c r="L339" i="17"/>
  <c r="U339" i="17"/>
  <c r="X339" i="17" s="1"/>
  <c r="L340" i="17"/>
  <c r="U340" i="17"/>
  <c r="X340" i="17" s="1"/>
  <c r="L342" i="17"/>
  <c r="U342" i="17"/>
  <c r="U343" i="17"/>
  <c r="X343" i="17" s="1"/>
  <c r="L343" i="17"/>
  <c r="L344" i="17"/>
  <c r="U344" i="17"/>
  <c r="X344" i="17" s="1"/>
  <c r="U345" i="17"/>
  <c r="X345" i="17" s="1"/>
  <c r="L345" i="17"/>
  <c r="L346" i="17"/>
  <c r="U346" i="17"/>
  <c r="X346" i="17" s="1"/>
  <c r="L347" i="17"/>
  <c r="U347" i="17"/>
  <c r="X347" i="17" s="1"/>
  <c r="U349" i="17"/>
  <c r="L349" i="17"/>
  <c r="L350" i="17"/>
  <c r="U350" i="17"/>
  <c r="X350" i="17" s="1"/>
  <c r="M351" i="17"/>
  <c r="AA351" i="17"/>
  <c r="U354" i="17"/>
  <c r="L354" i="17"/>
  <c r="L355" i="17"/>
  <c r="U355" i="17"/>
  <c r="X355" i="17" s="1"/>
  <c r="L356" i="17"/>
  <c r="U356" i="17"/>
  <c r="X356" i="17" s="1"/>
  <c r="L357" i="17"/>
  <c r="U357" i="17"/>
  <c r="L358" i="17"/>
  <c r="U358" i="17"/>
  <c r="X358" i="17" s="1"/>
  <c r="L359" i="17"/>
  <c r="U359" i="17"/>
  <c r="X359" i="17" s="1"/>
  <c r="L360" i="17"/>
  <c r="U360" i="17"/>
  <c r="X360" i="17" s="1"/>
  <c r="AA361" i="17"/>
  <c r="M361" i="17"/>
  <c r="AA363" i="17"/>
  <c r="M363" i="17"/>
  <c r="O3" i="1"/>
  <c r="Y95" i="17" l="1"/>
  <c r="AA195" i="17"/>
  <c r="AB179" i="17" s="1"/>
  <c r="M195" i="17"/>
  <c r="AA198" i="17"/>
  <c r="M198" i="17"/>
  <c r="M206" i="17"/>
  <c r="V200" i="17"/>
  <c r="X206" i="17"/>
  <c r="AA207" i="17"/>
  <c r="M207" i="17"/>
  <c r="AA208" i="17"/>
  <c r="M208" i="17"/>
  <c r="AA209" i="17"/>
  <c r="M209" i="17"/>
  <c r="AA210" i="17"/>
  <c r="M210" i="17"/>
  <c r="AA211" i="17"/>
  <c r="M211" i="17"/>
  <c r="AA212" i="17"/>
  <c r="M212" i="17"/>
  <c r="AA213" i="17"/>
  <c r="M213" i="17"/>
  <c r="AA214" i="17"/>
  <c r="M214" i="17"/>
  <c r="AA215" i="17"/>
  <c r="M215" i="17"/>
  <c r="AA216" i="17"/>
  <c r="M216" i="17"/>
  <c r="AA217" i="17"/>
  <c r="M217" i="17"/>
  <c r="AA218" i="17"/>
  <c r="M218" i="17"/>
  <c r="AA219" i="17"/>
  <c r="M219" i="17"/>
  <c r="AA220" i="17"/>
  <c r="M220" i="17"/>
  <c r="AA221" i="17"/>
  <c r="M221" i="17"/>
  <c r="AA222" i="17"/>
  <c r="M222" i="17"/>
  <c r="AA223" i="17"/>
  <c r="M223" i="17"/>
  <c r="AA224" i="17"/>
  <c r="M224" i="17"/>
  <c r="AA225" i="17"/>
  <c r="M225" i="17"/>
  <c r="AA226" i="17"/>
  <c r="M226" i="17"/>
  <c r="AA227" i="17"/>
  <c r="M227" i="17"/>
  <c r="AA228" i="17"/>
  <c r="M228" i="17"/>
  <c r="AA229" i="17"/>
  <c r="M229" i="17"/>
  <c r="AA230" i="17"/>
  <c r="M230" i="17"/>
  <c r="N238" i="17"/>
  <c r="O238" i="17" s="1"/>
  <c r="M239" i="17"/>
  <c r="V238" i="17"/>
  <c r="X239" i="17"/>
  <c r="AA240" i="17"/>
  <c r="M240" i="17"/>
  <c r="M242" i="17"/>
  <c r="V241" i="17"/>
  <c r="X242" i="17"/>
  <c r="AA243" i="17"/>
  <c r="M243" i="17"/>
  <c r="AA244" i="17"/>
  <c r="M244" i="17"/>
  <c r="AA245" i="17"/>
  <c r="M245" i="17"/>
  <c r="AA246" i="17"/>
  <c r="M246" i="17"/>
  <c r="AA247" i="17"/>
  <c r="M247" i="17"/>
  <c r="AA248" i="17"/>
  <c r="M248" i="17"/>
  <c r="AA249" i="17"/>
  <c r="M249" i="17"/>
  <c r="AA250" i="17"/>
  <c r="M250" i="17"/>
  <c r="M252" i="17"/>
  <c r="V251" i="17"/>
  <c r="X252" i="17"/>
  <c r="AA252" i="17" s="1"/>
  <c r="AB251" i="17" s="1"/>
  <c r="AA254" i="17"/>
  <c r="M254" i="17"/>
  <c r="AA255" i="17"/>
  <c r="M255" i="17"/>
  <c r="X256" i="17"/>
  <c r="Y256" i="17" s="1"/>
  <c r="V256" i="17"/>
  <c r="AA256" i="17"/>
  <c r="N256" i="17"/>
  <c r="O256" i="17" s="1"/>
  <c r="M256" i="17"/>
  <c r="AA257" i="17"/>
  <c r="M257" i="17"/>
  <c r="X259" i="17"/>
  <c r="Y259" i="17" s="1"/>
  <c r="V259" i="17"/>
  <c r="AA259" i="17"/>
  <c r="N259" i="17"/>
  <c r="O259" i="17" s="1"/>
  <c r="M259" i="17"/>
  <c r="AA260" i="17"/>
  <c r="M260" i="17"/>
  <c r="AA262" i="17"/>
  <c r="M262" i="17"/>
  <c r="AA263" i="17"/>
  <c r="M263" i="17"/>
  <c r="AA264" i="17"/>
  <c r="M264" i="17"/>
  <c r="AA265" i="17"/>
  <c r="M265" i="17"/>
  <c r="AA266" i="17"/>
  <c r="M266" i="17"/>
  <c r="AA267" i="17"/>
  <c r="M267" i="17"/>
  <c r="AA268" i="17"/>
  <c r="M268" i="17"/>
  <c r="AA269" i="17"/>
  <c r="M269" i="17"/>
  <c r="AA270" i="17"/>
  <c r="M270" i="17"/>
  <c r="AA271" i="17"/>
  <c r="M271" i="17"/>
  <c r="AA272" i="17"/>
  <c r="M272" i="17"/>
  <c r="AA273" i="17"/>
  <c r="M273" i="17"/>
  <c r="AA274" i="17"/>
  <c r="M274" i="17"/>
  <c r="AA275" i="17"/>
  <c r="M275" i="17"/>
  <c r="V276" i="17"/>
  <c r="X284" i="17"/>
  <c r="Y276" i="17" s="1"/>
  <c r="AA284" i="17"/>
  <c r="M284" i="17"/>
  <c r="AA285" i="17"/>
  <c r="M285" i="17"/>
  <c r="AA286" i="17"/>
  <c r="M286" i="17"/>
  <c r="AA287" i="17"/>
  <c r="M287" i="17"/>
  <c r="AA288" i="17"/>
  <c r="M288" i="17"/>
  <c r="M290" i="17"/>
  <c r="V289" i="17"/>
  <c r="X290" i="17"/>
  <c r="AA292" i="17"/>
  <c r="M292" i="17"/>
  <c r="AA293" i="17"/>
  <c r="M293" i="17"/>
  <c r="AA294" i="17"/>
  <c r="M294" i="17"/>
  <c r="AA295" i="17"/>
  <c r="M295" i="17"/>
  <c r="AA296" i="17"/>
  <c r="M296" i="17"/>
  <c r="AA297" i="17"/>
  <c r="M297" i="17"/>
  <c r="AA298" i="17"/>
  <c r="M298" i="17"/>
  <c r="AA299" i="17"/>
  <c r="M299" i="17"/>
  <c r="AA300" i="17"/>
  <c r="M300" i="17"/>
  <c r="AA301" i="17"/>
  <c r="M301" i="17"/>
  <c r="AA302" i="17"/>
  <c r="M302" i="17"/>
  <c r="AA303" i="17"/>
  <c r="M303" i="17"/>
  <c r="AA304" i="17"/>
  <c r="M304" i="17"/>
  <c r="AA305" i="17"/>
  <c r="M305" i="17"/>
  <c r="AA306" i="17"/>
  <c r="M306" i="17"/>
  <c r="AA307" i="17"/>
  <c r="M307" i="17"/>
  <c r="AA308" i="17"/>
  <c r="M308" i="17"/>
  <c r="AA309" i="17"/>
  <c r="M309" i="17"/>
  <c r="AA310" i="17"/>
  <c r="M310" i="17"/>
  <c r="AA311" i="17"/>
  <c r="M311" i="17"/>
  <c r="AA312" i="17"/>
  <c r="M312" i="17"/>
  <c r="AA313" i="17"/>
  <c r="M313" i="17"/>
  <c r="AA314" i="17"/>
  <c r="M314" i="17"/>
  <c r="V315" i="17"/>
  <c r="X316" i="17"/>
  <c r="Y315" i="17" s="1"/>
  <c r="AA316" i="17"/>
  <c r="AB315" i="17" s="1"/>
  <c r="M316" i="17"/>
  <c r="M318" i="17"/>
  <c r="V317" i="17"/>
  <c r="X318" i="17"/>
  <c r="AA319" i="17"/>
  <c r="M319" i="17"/>
  <c r="AA320" i="17"/>
  <c r="M320" i="17"/>
  <c r="AA321" i="17"/>
  <c r="M321" i="17"/>
  <c r="AA322" i="17"/>
  <c r="M322" i="17"/>
  <c r="AA323" i="17"/>
  <c r="M323" i="17"/>
  <c r="AA325" i="17"/>
  <c r="AB324" i="17" s="1"/>
  <c r="M325" i="17"/>
  <c r="M327" i="17"/>
  <c r="V326" i="17"/>
  <c r="X327" i="17"/>
  <c r="AA328" i="17"/>
  <c r="M328" i="17"/>
  <c r="M330" i="17"/>
  <c r="V329" i="17"/>
  <c r="X330" i="17"/>
  <c r="AA331" i="17"/>
  <c r="M331" i="17"/>
  <c r="AA332" i="17"/>
  <c r="M332" i="17"/>
  <c r="AA334" i="17"/>
  <c r="AB333" i="17" s="1"/>
  <c r="M334" i="17"/>
  <c r="V333" i="17"/>
  <c r="X334" i="17"/>
  <c r="Y333" i="17" s="1"/>
  <c r="V335" i="17"/>
  <c r="X336" i="17"/>
  <c r="Y335" i="17" s="1"/>
  <c r="AA336" i="17"/>
  <c r="M336" i="17"/>
  <c r="AA337" i="17"/>
  <c r="M337" i="17"/>
  <c r="AA338" i="17"/>
  <c r="M338" i="17"/>
  <c r="AA339" i="17"/>
  <c r="M339" i="17"/>
  <c r="AA340" i="17"/>
  <c r="M340" i="17"/>
  <c r="N341" i="17"/>
  <c r="O341" i="17" s="1"/>
  <c r="M342" i="17"/>
  <c r="V341" i="17"/>
  <c r="X342" i="17"/>
  <c r="AA343" i="17"/>
  <c r="M343" i="17"/>
  <c r="AA344" i="17"/>
  <c r="M344" i="17"/>
  <c r="AA345" i="17"/>
  <c r="M345" i="17"/>
  <c r="AA346" i="17"/>
  <c r="M346" i="17"/>
  <c r="AA347" i="17"/>
  <c r="M347" i="17"/>
  <c r="X349" i="17"/>
  <c r="Y349" i="17" s="1"/>
  <c r="V349" i="17"/>
  <c r="AA349" i="17"/>
  <c r="N349" i="17"/>
  <c r="O349" i="17" s="1"/>
  <c r="M349" i="17"/>
  <c r="AA350" i="17"/>
  <c r="M350" i="17"/>
  <c r="V353" i="17"/>
  <c r="X354" i="17"/>
  <c r="Y353" i="17" s="1"/>
  <c r="AA354" i="17"/>
  <c r="N353" i="17"/>
  <c r="O353" i="17" s="1"/>
  <c r="M354" i="17"/>
  <c r="AA355" i="17"/>
  <c r="M355" i="17"/>
  <c r="AA356" i="17"/>
  <c r="M356" i="17"/>
  <c r="N357" i="17"/>
  <c r="O357" i="17" s="1"/>
  <c r="M357" i="17"/>
  <c r="X357" i="17"/>
  <c r="V357" i="17"/>
  <c r="AA358" i="17"/>
  <c r="M358" i="17"/>
  <c r="AA359" i="17"/>
  <c r="M359" i="17"/>
  <c r="AA360" i="17"/>
  <c r="M360" i="17"/>
  <c r="O95" i="17"/>
  <c r="X195" i="17"/>
  <c r="Y179" i="17" s="1"/>
  <c r="V179" i="17"/>
  <c r="U4" i="17" s="1"/>
  <c r="W4" i="17" s="1"/>
  <c r="N200" i="17"/>
  <c r="L365" i="17"/>
  <c r="M366" i="17" s="1"/>
  <c r="X325" i="17"/>
  <c r="Y324" i="17" s="1"/>
  <c r="V324" i="17"/>
  <c r="Y251" i="17" l="1"/>
  <c r="AB256" i="17"/>
  <c r="AB259" i="17"/>
  <c r="AB276" i="17"/>
  <c r="AB335" i="17"/>
  <c r="AB349" i="17"/>
  <c r="AB353" i="17"/>
  <c r="Y200" i="17"/>
  <c r="Y4" i="17"/>
  <c r="AA206" i="17"/>
  <c r="AB200" i="17" s="1"/>
  <c r="Y238" i="17"/>
  <c r="AA239" i="17"/>
  <c r="AB238" i="17" s="1"/>
  <c r="Y241" i="17"/>
  <c r="AA242" i="17"/>
  <c r="AB241" i="17" s="1"/>
  <c r="Y289" i="17"/>
  <c r="AA290" i="17"/>
  <c r="AB289" i="17" s="1"/>
  <c r="Y317" i="17"/>
  <c r="AA318" i="17"/>
  <c r="AB317" i="17" s="1"/>
  <c r="Y326" i="17"/>
  <c r="AA327" i="17"/>
  <c r="AB326" i="17" s="1"/>
  <c r="Y329" i="17"/>
  <c r="AA330" i="17"/>
  <c r="AB329" i="17" s="1"/>
  <c r="Y341" i="17"/>
  <c r="AA342" i="17"/>
  <c r="AB341" i="17" s="1"/>
  <c r="Y357" i="17"/>
  <c r="AA357" i="17"/>
  <c r="AB357" i="17" s="1"/>
  <c r="O200" i="17"/>
  <c r="O364" i="17" s="1"/>
  <c r="N364" i="17"/>
  <c r="Y6" i="17" l="1"/>
  <c r="AA6" i="17" s="1"/>
  <c r="AA4" i="17"/>
</calcChain>
</file>

<file path=xl/sharedStrings.xml><?xml version="1.0" encoding="utf-8"?>
<sst xmlns="http://schemas.openxmlformats.org/spreadsheetml/2006/main" count="1731" uniqueCount="1031">
  <si>
    <t>OBRAS EM ANDAMENTO</t>
  </si>
  <si>
    <t>Nº Processo</t>
  </si>
  <si>
    <t>Objeto</t>
  </si>
  <si>
    <t>Data de Início</t>
  </si>
  <si>
    <t>Etapa Atual</t>
  </si>
  <si>
    <t>% Concluído</t>
  </si>
  <si>
    <t>Status</t>
  </si>
  <si>
    <t>Previsão de Conclusão</t>
  </si>
  <si>
    <t>Execução</t>
  </si>
  <si>
    <t>Valor do Aditivo</t>
  </si>
  <si>
    <t>Empresa contratada</t>
  </si>
  <si>
    <t>Proposta</t>
  </si>
  <si>
    <t>Valor Pago</t>
  </si>
  <si>
    <t>Quantitativos e preços praticados</t>
  </si>
  <si>
    <t>Aditivo</t>
  </si>
  <si>
    <t>Valor Total</t>
  </si>
  <si>
    <t xml:space="preserve">Valor Inicial da Obra </t>
  </si>
  <si>
    <t>E-20/001.009524/2024</t>
  </si>
  <si>
    <t>CONSTRUÇÃO DA NOVA SEDE DE SÃO PEDRO DA ALDEIA</t>
  </si>
  <si>
    <t>MARENGE ENGENHARIA</t>
  </si>
  <si>
    <t>SEM ADITIVO</t>
  </si>
  <si>
    <t>Proposta Marenge - S.P Aldeia'!A1</t>
  </si>
  <si>
    <t>1ª Medição</t>
  </si>
  <si>
    <t>1ª Medição - Marenge'!A1</t>
  </si>
  <si>
    <t>UN</t>
  </si>
  <si>
    <t>PLACA DE SINALIZACAO DE SEGURANCA CONTRA INCENDIO, FOTOLUMINESCENTE, QUADRADA, *20 X 20* CM, EM PVC *2* MM ANTI-CHAMAS (SIMBOLOS, CORES E PICTOGRAMAS CONFORME NBR 16820)</t>
  </si>
  <si>
    <t>SINAPI</t>
  </si>
  <si>
    <t>3.17.7</t>
  </si>
  <si>
    <t>PLACA DE SINALIZACAO DE SEGURANCA CONTRA INCENDIO, FOTOLUMINESCENTE, RETANGULAR, *13 X 26* CM, EM PVC *2* MM ANTI-CHAMAS (SIMBOLOS, CORES E PICTOGRAMAS CONFORME NBR 16820)</t>
  </si>
  <si>
    <t>3.17.6</t>
  </si>
  <si>
    <t>LUMINARIA DE EMERGENCIA 30 LEDS, POTENCIA 2 W, BATERIA DE LITIO, AUTONOMIA DE 6 HORAS</t>
  </si>
  <si>
    <t>3.17.5</t>
  </si>
  <si>
    <t>PINTURA DE SINALIZACAO DE SOLO PARA EQUIPAMENTOS DE COMBATEA INCENDIO (EXTINTORES E HIDRANTES),EM QUADRADOS VERMELHOS DE (0,70X0,70)M E BORDAS AMARELAS DE 0,15M DE LARGURA,CONFORME ABNT NBR 16820</t>
  </si>
  <si>
    <t>EMOP</t>
  </si>
  <si>
    <t>17.040.0050-0</t>
  </si>
  <si>
    <t>3.17.4</t>
  </si>
  <si>
    <t>EXTINTOR DE INCÊNDIO PORTÁTIL COM CARGA DE PQS DE 6 KG, CLASSE BC - FORNECIMENTO E INSTALAÇÃO. AF_10/2020_PE</t>
  </si>
  <si>
    <t>3.17.3</t>
  </si>
  <si>
    <t>EXTINTOR DE INCÊNDIO PORTÁTIL COM CARGA DE CO2 DE 6 KG, CLASSE BC - FORNECIMENTO E INSTALAÇÃO. AF_10/2020_PE</t>
  </si>
  <si>
    <t>3.17.2</t>
  </si>
  <si>
    <t>EXTINTOR DE INCÊNDIO PORTÁTIL COM CARGA DE ÁGUA PRESSURIZADA DE 10 L, CLASSE A - FORNECIMENTO E INSTALAÇÃO. AF_10/2020_PE</t>
  </si>
  <si>
    <t>3.17.1</t>
  </si>
  <si>
    <t>APÓS A CONCLUSÃO DAS INSTALAÇÕES DE INCÊNDIO, INCLUINDO EMISSÃO DE CERTIFICADO DE APROVAÇÃO DOS BOMBEIROS</t>
  </si>
  <si>
    <t>INSTALAÇÃO DE INCÊNDIO</t>
  </si>
  <si>
    <t>EVENTO 48</t>
  </si>
  <si>
    <t>M2</t>
  </si>
  <si>
    <t>RODAPÉ EM GRANITO, APLICADO COM ARGAMASSA, POLIDO, E=2,0CM</t>
  </si>
  <si>
    <t>05.100.0900-0</t>
  </si>
  <si>
    <t>3.16.19</t>
  </si>
  <si>
    <t>CUBA DE EMBUTIR DE AÇO INOXIDÁVEL MÉDIA, INCLUSO VÁLVULA TIPO AMERICANA E SIFÃO TIPO GARRAFA EM METAL CROMADO - FORNECIMENTO E INSTALAÇÃO. AF_01/2020</t>
  </si>
  <si>
    <t>3.16.11</t>
  </si>
  <si>
    <t>CUBA SUSPENSA DE LAVATORIO DE LOUCA BRANCA, INSTALADA SOBRE BANCADA DE GRANITO,MEDINDO EM TORNO DE (30X40)CM, INCLUSIVE ACESSORIOS DE FIXACAO.FERRAGENS EM METAL CROMADO:SIFAO 1"X1.1/4",VALVULA DE ESCOAMENTO,RABICHO,TORNEIRA PARA LAVATORIO DE MESA. FORNECIMENTO E INSTALAÇÃO</t>
  </si>
  <si>
    <t>COMPOSIÇÃO</t>
  </si>
  <si>
    <t>COMP. 23</t>
  </si>
  <si>
    <t>3.16.3</t>
  </si>
  <si>
    <t>TAMPO DE BANCADA/BALCÃO DE GRANITO BRANCO ITAÚNAS - FORNECIMENTO E INSTALAÇÃO</t>
  </si>
  <si>
    <t>COMP. 25</t>
  </si>
  <si>
    <t>3.16.18</t>
  </si>
  <si>
    <t>APÓS A INSTALAÇÃO DE BALCÃO E BANCADAS INTERNAS, RODAPÉ EXTERNO</t>
  </si>
  <si>
    <t>BANCADAS INTERNAS E RODAPÉS INTERNO E EXTERNOS</t>
  </si>
  <si>
    <t>EVENTO 47</t>
  </si>
  <si>
    <t>CAIXA PARA COMANDO DE DUAS BOMBAS DE RECALQUE 0,5 A 5CV, COM FORNECIMENTO E COLACAÇÃO</t>
  </si>
  <si>
    <t>COMP. 20</t>
  </si>
  <si>
    <t>3.13.76</t>
  </si>
  <si>
    <t>CHAVE DE BOIA AUTOMÁTICA SUPERIOR/INFERIOR 15A/250V - FORNECIMENTO E INSTALAÇÃO. AF_12/2020</t>
  </si>
  <si>
    <t>3.13.75</t>
  </si>
  <si>
    <t>BOMBA CENTRÍFUGA, MONOFÁSICA, 0,5 CV OU 0,49 HP, HM 6 A 20 M, Q 1,2 A 8,3 M3/H - FORNECIMENTO E INSTALAÇÃO. AF_12/2020</t>
  </si>
  <si>
    <t>3.16.17</t>
  </si>
  <si>
    <t>BEBEDOURO PURIFICADOR,DE COLUNA,COM ACESSIBILIDADE,CONFORMEABNT NBR 9050,EM ACO INOXIDAVEL,MODELO PRESSAO,COM 2 TORNEIRAS,VAZAO MINIMA DE 30L/H,CONFORME ABNT NBR 16236.FORNECIMENTO</t>
  </si>
  <si>
    <t>18.025.0001-0</t>
  </si>
  <si>
    <t>3.16.16</t>
  </si>
  <si>
    <t xml:space="preserve">INSTALAÇÃO, TESTE E APROVAÇÃO DE BEBEDOURO, BOMBA DE RECALQUE </t>
  </si>
  <si>
    <t>EQUIPAMENTOS - FORN. E INSTALAÇÃO</t>
  </si>
  <si>
    <t>EVENTO 46</t>
  </si>
  <si>
    <t>ESPELHO CRISTAL E = 4 MM</t>
  </si>
  <si>
    <t>3.11.22</t>
  </si>
  <si>
    <t>PUXADOR PARA PCD, FIXADO NA PORTA - FORNECIMENTO E INSTALAÇÃO. AF_01/2020</t>
  </si>
  <si>
    <t>3.16.14</t>
  </si>
  <si>
    <t>BARRA DE APOIO LATERAL ARTICULADA, COM TRAVA, EM ACO INOX POLIDO, FIXADA NA PAREDE - FORNECIMENTO E INSTALAÇÃO. AF_01/2020</t>
  </si>
  <si>
    <t>3.16.13</t>
  </si>
  <si>
    <t>BARRA DE APOIO RETA, EM ACO INOX POLIDO, COMPRIMENTO 80 CM,  FIXADA NA PAREDE - FORNECIMENTO E INSTALAÇÃO. AF_01/2020</t>
  </si>
  <si>
    <t>3.16.12</t>
  </si>
  <si>
    <t>TORNEIRA CROMADA 1/2 OU 3/4 PARA TANQUE, PADRÃO MÉDIO - FORNECIMENTO E INSTALAÇÃO. AF_01/2020</t>
  </si>
  <si>
    <t>3.16.10</t>
  </si>
  <si>
    <t>TORNEIRA CROMADA TUBO MÓVEL, DE PAREDE, 1/2 OU 3/4, PARA PIA DE COZINHA, PADRÃO MÉDIO - FORNECIMENTO E INSTALAÇÃO. AF_01/2020</t>
  </si>
  <si>
    <t>3.16.9</t>
  </si>
  <si>
    <t>DUCHA / CHUVEIRO METALICO, DE PAREDE, ARTICULAVEL, COM DESVIADOR E DUCHA MANUAL</t>
  </si>
  <si>
    <t>3.16.8</t>
  </si>
  <si>
    <t>M</t>
  </si>
  <si>
    <t>PROTECAO PARA PORTA EM ACO INOX ESCOVADO,CHAPA N°14,COM 30CMDE ALTURA.FORNECIMENTO E COLOCACAO</t>
  </si>
  <si>
    <t>14.002.0240-0</t>
  </si>
  <si>
    <t>3.11.6</t>
  </si>
  <si>
    <t xml:space="preserve">INSTALAÇÃO DE TODOS EQUIPAMENTOS DE METAIS INTERNOS </t>
  </si>
  <si>
    <t>INSTALAÇÃO DE METAIS</t>
  </si>
  <si>
    <t>EVENTO 45</t>
  </si>
  <si>
    <t>BACIA SANITARIA DE LOUCA BRANCA,COM CAIXA ACOPLADA,CONFORMEABNT NBR 9050 PARA ACESSIBILIDADE, PADRAO MEDIO LUXO,RABICHO CROMADO,ANEL DE VEDACAO E ACESSORIOS DE FIXACAO.FORNECIMENTO E INSTALAÇÃO</t>
  </si>
  <si>
    <t>COMP. 24</t>
  </si>
  <si>
    <t>3.16.7</t>
  </si>
  <si>
    <t>ASSENTO SANITÁRIO CONVENCIONAL - FORNECIMENTO E INSTALACAO. AF_01/2020</t>
  </si>
  <si>
    <t>3.16.6</t>
  </si>
  <si>
    <t>VASO SANITÁRIO SIFONADO COM CAIXA ACOPLADA LOUÇA BRANCA - PADRÃO MÉDIO, INCLUSO ENGATE FLEXÍVEL EM METAL CROMADO, 1/2  X 40CM - FORNECIMENTO E INSTALAÇÃO. AF_01/2020</t>
  </si>
  <si>
    <t>3.16.5</t>
  </si>
  <si>
    <t>TANQUE DE LOUÇA BRANCA SUSPENSO, 18L OU EQUIVALENTE, INCLUSO SIFÃO TIPO GARRAFA EM METAL CROMADO, VÁLVULA METÁLICA E TORNEIRA DE METAL CROMADO PADRÃO MÉDIO - FORNECIMENTO E INSTALAÇÃO. AF_01/2020</t>
  </si>
  <si>
    <t>3.16.4</t>
  </si>
  <si>
    <t>LAVATORIO DE LOUCA BRANCA,COM COLUNA SUSPENSA,CONFORME ABNTNBR 9050 PARA ACESSIBILIDADE,MEDINDO EM TORNO DE (45,5X35,5)CM,INCLUSIVE ACESSORIOS DE FIXACAO.FERRAGENS EM METAL CROMADO:SIFAO 1"X1.1/4",VALVULA DE ESCOAMENTO,RABICHO,TORNEIRA PARA LAVATORIO DE MESA COM ALAVANCA,ACIONAMENTO MANUAL E FECHAMENTO AUTOMATICO.FORNECIMENTO E INSTALAÇÃO</t>
  </si>
  <si>
    <t>COMP. 22</t>
  </si>
  <si>
    <t>3.16.2</t>
  </si>
  <si>
    <t>LAVATÓRIO LOUÇA BRANCA COM COLUNA, 45 X 55CM OU EQUIVALENTE, PADRÃO MÉDIO, INCLUSO SIFÃO TIPO GARRAFA, VÁLVULA E ENGATE FLEXÍVEL DE 40CM EM METAL CROMADO, COM TORNEIRA CROMADA DE MESA, PADRÃO MÉDIO - FORNECIMENTO E INSTALAÇÃO. AF_01/2020</t>
  </si>
  <si>
    <t>3.16.1</t>
  </si>
  <si>
    <t>APÓS A INSTALAÇÃO E APROVAÇÃO (TESTES DE VAZAMENTO) DE TODAS AS LOUÇAS</t>
  </si>
  <si>
    <t xml:space="preserve">INSTALAÇÃO DE LOUÇAS </t>
  </si>
  <si>
    <t>EVENTO 44</t>
  </si>
  <si>
    <t>PINTURA DE PISO COM TINTA ACRÍLICA, APLICAÇÃO MANUAL, 2 DEMÃOS, INCLUSO FUNDO PREPARADOR. AF_05/2021</t>
  </si>
  <si>
    <t>3.15.9</t>
  </si>
  <si>
    <t>PINTURA DE DEMARCAÇÃO DE VAGA COM TINTA EPÓXI, E = 10 CM, APLICAÇÃO MANUAL. AF_05/2021</t>
  </si>
  <si>
    <t>3.15.8</t>
  </si>
  <si>
    <t>APÓS A CONCLUSÃO DA DEMARCAÇÃO DE VAGAS</t>
  </si>
  <si>
    <t>DEMARCAÇÃO DE VAGAS</t>
  </si>
  <si>
    <t>EVENTO 43</t>
  </si>
  <si>
    <t>TEXTURA ACRÍLICA, EFEITO GRANULADO, APLICAÇÃO MANUAL EM PAREDE, ÁREA EXTERNA (2 DEMÃOS)</t>
  </si>
  <si>
    <t>COMP. 21</t>
  </si>
  <si>
    <t>3.15.7</t>
  </si>
  <si>
    <t>PINTURA LÁTEX ACRÍLICA PREMIUM, APLICAÇÃO MANUAL EM PAREDES, DUAS DEMÃOS. AF_04/2023</t>
  </si>
  <si>
    <t>3.15.6</t>
  </si>
  <si>
    <t>FUNDO SELADOR ACRÍLICO, APLICAÇÃO MANUAL EM PAREDE, UMA DEMÃO. AF_04/2023</t>
  </si>
  <si>
    <t>3.15.5</t>
  </si>
  <si>
    <t>EMASSAMENTO COM MASSA LÁTEX, APLICAÇÃO EM PAREDE, DUAS DEMÃOS, LIXAMENTO MANUAL. AF_04/2023</t>
  </si>
  <si>
    <t>3.15.4</t>
  </si>
  <si>
    <t>APÓS A CONCLUSÃO DE EMASSAMENTO E PINTURA PVA E ACRÍLICA DE TODAS AS PAREDES PREVISTAS EM PROJETO BÁSICO</t>
  </si>
  <si>
    <t>EMASSAMENTO E PINTURA</t>
  </si>
  <si>
    <t>EVENTO 42</t>
  </si>
  <si>
    <t>PINTURA COM TINTA ALQUÍDICA DE ACABAMENTO (ESMALTE SINTÉTICO BRILHANTE) PULVERIZADA SOBRE SUPERFÍCIES METÁLICAS (EXCETO PERFIL) EXECUTADO EM OBRA (02 DEMÃOS). AF_01/2020_PE</t>
  </si>
  <si>
    <t>3.15.3</t>
  </si>
  <si>
    <t>PINTURA COM TINTA ALQUÍDICA DE FUNDO (TIPO ZARCÃO) APLICADA A ROLO OU PINCEL SOBRE PERFIL METÁLICO EXECUTADO EM FÁBRICA (POR DEMÃO). AF_01/2020</t>
  </si>
  <si>
    <t>3.15.2</t>
  </si>
  <si>
    <t>LIXAMENTO MANUAL EM SUPERFÍCIES METÁLICAS EM OBRA. AF_01/2020</t>
  </si>
  <si>
    <t>3.15.1</t>
  </si>
  <si>
    <t>APÓS A CONCLUSÃO DA PINTURA ESMALTE EM TODOS OS EQUIPAMENTOS PREVISTOS EM PROJETO BÁSICO</t>
  </si>
  <si>
    <t xml:space="preserve">PINTURA ESMALTE </t>
  </si>
  <si>
    <t>EVENTO 41</t>
  </si>
  <si>
    <t>IMPERMEABILIZAÇÃO DE SUPERFÍCIE COM ARGAMASSA POLIMÉRICA / MEMBRANA ACRÍLICA, 3 DEMÃOS. AF_09/2023</t>
  </si>
  <si>
    <t>3.14.7</t>
  </si>
  <si>
    <t>IMPERMEABILIZIMPERMEABILIZAÇÃO DE SUPERFÍCIE COM ARGAMASSA POLIMÉRICA / MEMBRANA ACRÍLICA, 4 DEMÃOS, REFORÇADA COM VÉU DE POLIÉSTER (MAV). AF_09/2023</t>
  </si>
  <si>
    <t>3.14.5</t>
  </si>
  <si>
    <t>APÓS A CONCLUSÃO DA IMPERMEABILIZAÇÃO DE TODAS AS DEMAIS ÁREAS PREVISTAS NA OBRA, INCLUINDO RESERVATÓRIO, MARQUISE E ÁREAS MOLHADAS</t>
  </si>
  <si>
    <t>DEMAIS IMPERMEABILIZAÇÕES</t>
  </si>
  <si>
    <t>EVENTO 40</t>
  </si>
  <si>
    <t>PROTEÇÃO MECÂNICA DE SUPERFÍCIE VERTICAL COM ARGAMASSA DE CIMENTO E AREIA, TRAÇO 1:3, E=5CM. AF_09/2023</t>
  </si>
  <si>
    <t>3.14.10</t>
  </si>
  <si>
    <t>PROTEÇÃO MECÂNICA DE SUPERFICIE HORIZONTAL COM ARGAMASSA DE CIMENTO E AREIA, TRAÇO 1:3, E=4CM. AF_09/2023</t>
  </si>
  <si>
    <t>3.14.9</t>
  </si>
  <si>
    <t>IMPERMEABILIZAÇÃO DE SUPERFÍCIE COM MANTA ASFÁLTICA, DUAS CAMADAS, INCLUSIVE APLICAÇÃO DE PRIMER ASFÁLTICO, E=3MM E E=4MM. AF_09/2023</t>
  </si>
  <si>
    <t>3.14.8</t>
  </si>
  <si>
    <t>TELHAMENTO COM TELHA ONDULADA DE FIBROCIMENTO E = 6 MM, COM RECOBRIMENTO LATERAL DE 1/4 DE ONDA PARA TELHADO COM INCLINAÇÃO MAIOR QUE 10°, COM ATÉ 2 ÁGUAS, INCLUSO IÇAMENTO. AF_07/2019</t>
  </si>
  <si>
    <t>3.14.4</t>
  </si>
  <si>
    <t>RUFO EM CHAPA DE AÇO GALVANIZADO NÚMERO 24, CORTE DE 25 CM, INCLUSO TRANSPORTE VERTICAL. AF_07/2019</t>
  </si>
  <si>
    <t>3.14.3</t>
  </si>
  <si>
    <t>FABRICAÇÃO E INSTALAÇÃO DE PONTALETES DE MADEIRA NÃO APARELHADA PARA TELHADOS COM ATÉ 2 ÁGUAS E COM TELHA ONDULADA DE FIBROCIMENTO, ALUMÍNIO OU PLÁSTICA EM EDIFÍCIO INSTITUCIONAL TÉRREO, INCLUSO TRANSPORTE VERTICAL. AF_07/2019</t>
  </si>
  <si>
    <t>3.14.2</t>
  </si>
  <si>
    <t>TRAMA DE MADEIRA COMPOSTA POR TERÇAS PARA TELHADOS DE ATÉ 2 ÁGUAS PARA TELHA ONDULADA DE FIBROCIMENTO, METÁLICA, PLÁSTICA OU TERMOACÚSTICA, INCLUSO TRANSPORTE VERTICAL. AF_07/2019</t>
  </si>
  <si>
    <t>3.14.1</t>
  </si>
  <si>
    <t>APÓS A EXECUÇÃO E APROVAÇÃO DO TELHADO DE FIBROCIMENTO, IMPERMEABILIZAÇÃO DAS CALHAS E ÁREA TÉCNICA, INCLUINDO TESTES DE ESTANQUEIDADE</t>
  </si>
  <si>
    <t>INSTALAÇÃO DE COBERTURA</t>
  </si>
  <si>
    <t>EVENTO 39</t>
  </si>
  <si>
    <t>TAMPA PARA CAIXA TIPO R1, EM FERRO FUNDIDO, DIMENSÕES INTERNAS: 0,40 X 0,60 M - FORNECIMENTO E INSTALAÇÃO. AF_12/2020</t>
  </si>
  <si>
    <t>3.13.78</t>
  </si>
  <si>
    <t>CAIXA ENTERRADA PARA INSTALAÇÕES TELEFÔNICAS TIPO R1, EM ALVENARIA COM BLOCOS DE CONCRETO, DIMENSÕES INTERNAS: 0,35X0,60X0,60 M, EXCLUINDO TAMPÃO. AF_12/2020</t>
  </si>
  <si>
    <t>3.13.77</t>
  </si>
  <si>
    <t>APÓS A INSTALAÇÃO DE CAIXA DE PASSAGEM E INFRAESTRURUTA DE ENTRADA DE REDE</t>
  </si>
  <si>
    <t>ENTRADA DE REDE</t>
  </si>
  <si>
    <t>EVENTO 38</t>
  </si>
  <si>
    <t>CHUMBAMENTO LINEAR EM ALVENARIA PARA RAMAIS/DISTRIBUIÇÃO DE INSTALAÇÕES HIDRÁULICAS COM DIÂMETROS MENORES OU IGUAIS A 40 MM. AF_09/2023</t>
  </si>
  <si>
    <t>3.13.74</t>
  </si>
  <si>
    <t>QUEBRA EM ALVENARIA PARA INSTALAÇÃO DE CAIXA DE TOMADA (4X4 OU 4X2). AF_09/2023</t>
  </si>
  <si>
    <t>3.13.73</t>
  </si>
  <si>
    <t>RASGO LINEAR MANUAL EM ALVENARIA, PARA ELETRODUTOS, DIÂMETROS MENORES OU IGUAIS A 40 MM. AF_09/2023</t>
  </si>
  <si>
    <t>3.13.72</t>
  </si>
  <si>
    <t>LUMINÁRIA PERFIL LED, EMBUTIR SLIM, COR CINZA 40MM, COM FITA LED - FORNECIMENTO E INSTALAÇÃO</t>
  </si>
  <si>
    <t>COMP. 19</t>
  </si>
  <si>
    <t>3.13.71</t>
  </si>
  <si>
    <t>LUMINÁRIA BALIZADOR SPOT LED DE 12 W, DE PISO, REDONDA INOX IP67 - FORNECIMENTO E INSTALAÇÃO</t>
  </si>
  <si>
    <t>COMP. 18</t>
  </si>
  <si>
    <t>3.13.70</t>
  </si>
  <si>
    <t>LUMINARIA LED REFLETOR RETANGULAR BIVOLT, LUZ BRANCA, 30 W</t>
  </si>
  <si>
    <t>3.13.69</t>
  </si>
  <si>
    <t>LUMINARIA LED TUBULAR DE EMBUTIR, 2X18W (INCLUSIVE LAMPADAS),CORPO EM CHAPA DE ACO TRATADA E PINTURA ELETROSTATICA BRANCA, REFLETOR EM ALUMINIO DE ALTO BRILHO, COM ALETAS, SEM REATOR. FORNECIMENTO E COLOCACAO</t>
  </si>
  <si>
    <t>18.027.0518-0</t>
  </si>
  <si>
    <t>3.13.68</t>
  </si>
  <si>
    <t>LUMINÁRIA ARANDELA TIPO MEIA LUA, DE SOBREPOR, COM 1 LÂMPADA LED DE 6 W, SEM REATOR - FORNECIMENTO E INSTALAÇÃO. AF_02/2020</t>
  </si>
  <si>
    <t>3.13.67</t>
  </si>
  <si>
    <t>RELÉ FOTOELÉTRICO PARA COMANDO DE ILUMINAÇÃO EXTERNA 1000 W - FORNECIMENTO E INSTALAÇÃO. AF_08/2020</t>
  </si>
  <si>
    <t>3.13.66</t>
  </si>
  <si>
    <t>TOMADA MÉDIA DE EMBUTIR (2 MÓDULOS), 2P+T 10 A, INCLUINDO SUPORTE E PLACA - FORNECIMENTO E INSTALAÇÃO. AF_03/2023</t>
  </si>
  <si>
    <t>3.13.65</t>
  </si>
  <si>
    <t>TOMADA MÉDIA DE EMBUTIR (1 MÓDULO), 2P+T 20 A, INCLUINDO SUPORTE E PLACA - FORNECIMENTO E INSTALAÇÃO. AF_03/2023</t>
  </si>
  <si>
    <t>3.13.64</t>
  </si>
  <si>
    <t>TOMADA MÉDIA DE EMBUTIR (1 MÓDULO), 2P+T 10 A, INCLUINDO SUPORTE E PLACA - FORNECIMENTO E INSTALAÇÃO. AF_03/2023</t>
  </si>
  <si>
    <t>3.13.63</t>
  </si>
  <si>
    <t>INTERRUPTOR SIMPLES (1 MÓDULO), 10A/250V, INCLUINDO SUPORTE E PLACA - FORNECIMENTO E INSTALAÇÃO. AF_03/2023</t>
  </si>
  <si>
    <t>3.13.62</t>
  </si>
  <si>
    <t>CAIXA DE PASSAGEM DE EMBUTIR,EM ACO,COM TAMPA PARAFUSADA,DE15X15CM.FORNECIMENTO E COLOCACAO</t>
  </si>
  <si>
    <t>15.018.0305-0</t>
  </si>
  <si>
    <t>3.13.61</t>
  </si>
  <si>
    <t>CAIXA DE LIGACAO DE ALUMINIO SILICIO,TIPO CONDULETES,NO FORMATO TB,DIAMETRO DE 2".FORNECIMENTO E COLOCACAO</t>
  </si>
  <si>
    <t>15.018.0103-0</t>
  </si>
  <si>
    <t>3.13.60</t>
  </si>
  <si>
    <t>CAIXA RETANGULAR 4" X 2" MÉDIA (1,30 M DO PISO), PVC, INSTALADA EM PAREDE - FORNECIMENTO E INSTALAÇÃO. AF_03/2023</t>
  </si>
  <si>
    <t>3.13.59</t>
  </si>
  <si>
    <t>CAIXA OCTOGONAL 4" X 4", PVC, INSTALADA EM LAJE - FORNECIMENTO E INSTALAÇÃO. AF_03/2023</t>
  </si>
  <si>
    <t>3.13.58</t>
  </si>
  <si>
    <t>CABO DE COBRE FLEXÍVEL ISOLADO, 16 MM², ANTI-CHAMA 0,6/1,0 KV, PARA CIRCUITOS TERMINAIS - FORNECIMENTO E INSTALAÇÃO. AF_03/2023</t>
  </si>
  <si>
    <t>3.13.57</t>
  </si>
  <si>
    <t>CABO DE COBRE FLEXÍVEL ISOLADO, 10 MM², ANTI-CHAMA 450/750 V, PARA CIRCUITOS TERMINAIS - FORNECIMENTO E INSTALAÇÃO. AF_03/2023</t>
  </si>
  <si>
    <t>3.13.56</t>
  </si>
  <si>
    <t>CABO DE COBRE FLEXÍVEL ISOLADO, 6 MM², ANTI-CHAMA 0,6/1,0 KV, PARA CIRCUITOS TERMINAIS - FORNECIMENTO E INSTALAÇÃO. AF_03/2023</t>
  </si>
  <si>
    <t>3.13.55</t>
  </si>
  <si>
    <t>CABO DE COBRE FLEXÍVEL ISOLADO, 4 MM², ANTI-CHAMA 0,6/1,0 KV, PARA CIRCUITOS TERMINAIS - FORNECIMENTO E INSTALAÇÃO. AF_03/2023</t>
  </si>
  <si>
    <t>3.13.54</t>
  </si>
  <si>
    <t>CABO DE COBRE FLEXÍVEL ISOLADO, 2,5 MM², ANTI-CHAMA 0,6/1,0 KV, PARA CIRCUITOS TERMINAIS - FORNECIMENTO E INSTALAÇÃO. AF_03/2023</t>
  </si>
  <si>
    <t>3.13.53</t>
  </si>
  <si>
    <t>CABO DE COBRE ISOLADO, 25 MM², ANTI-CHAMA 0,6/1 KV, INSTALADO EM ELETROCALHA OU PERFILADO - FORNECIMENTO E INSTALAÇÃO. AF_10/2020</t>
  </si>
  <si>
    <t>3.13.52</t>
  </si>
  <si>
    <t>CABO DE COBRE FLEXÍVEL ISOLADO, 35 MM², 0,6/1,0 KV, PARA REDE AÉREA DE DISTRIBUIÇÃO DE ENERGIA ELÉTRICA DE BAIXA TENSÃO - FORNECIMENTO E INSTALAÇÃO. AF_07/2020</t>
  </si>
  <si>
    <t>3.13.51</t>
  </si>
  <si>
    <t>CABO DE COBRE FLEXÍVEL ISOLADO, 50 MM², ANTI-CHAMA 0,6/1,0 KV, PARA REDE ENTERRADA DE DISTRIBUIÇÃO DE ENERGIA ELÉTRICA - FORNECIMENTO E INSTALAÇÃO. AF_12/2021</t>
  </si>
  <si>
    <t>3.13.50</t>
  </si>
  <si>
    <t>CABO DE COBRE FLEXÍVEL ISOLADO, 95 MM², ANTI-CHAMA 0,6/1,0 KV, PARA REDE ENTERRADA DE DISTRIBUIÇÃO DE ENERGIA ELÉTRICA - FORNECIMENTO E INSTALAÇÃO. AF_12/2021</t>
  </si>
  <si>
    <t>3.13.49</t>
  </si>
  <si>
    <t>APÓS A CONCLUSÃO E APROVAÇÃO DE TODAS AS INSTALAÇÕES ELÉTRICAS DE ALIMENTAÇÃO E DISTRIBUIÇÃO DE CIRCUITOS</t>
  </si>
  <si>
    <t>ALIMENTAÇÃO E DISTRIBUIIÇÃO DE CIRCUITOS</t>
  </si>
  <si>
    <t>EVENTO 37</t>
  </si>
  <si>
    <t>TERMINAL DE FECHAMENTO LISO,PARA ELETROCALHA PERFURADA OU LISA,200X50MM.FORNECIMENTO E COLOCACAO</t>
  </si>
  <si>
    <t>15.018.0942-0</t>
  </si>
  <si>
    <t>3.13.48</t>
  </si>
  <si>
    <t>TE HORIZONTAL,90º,PARA ELETROCALHA PERFURADA OU LISA,200X50MM.FORNECIMENTO E COLOCACAO</t>
  </si>
  <si>
    <t>15.018.0752-0</t>
  </si>
  <si>
    <t>3.13.47</t>
  </si>
  <si>
    <t>CURVA DE INVERSAO,90º,PARA ELETROCALHA PERFURADA OU LISA,200X50MM.FORNECIMENTO E COLOCACAO</t>
  </si>
  <si>
    <t>15.018.0732-0</t>
  </si>
  <si>
    <t>3.13.46</t>
  </si>
  <si>
    <t>ELETROCALHA PERFURADA,SEM TAMPA,TIPO "U",200X50MM,TRATAMENTOSUPERFICIAL PRE-ZINCADO A QUENTE,INCLUSIVE CONEXOES,ACESSORIOS E FIXACAO SUPERIOR.FORNECIMENTO E COLOCACAO</t>
  </si>
  <si>
    <t>15.018.0469-0</t>
  </si>
  <si>
    <t>3.13.45</t>
  </si>
  <si>
    <t>CANALETA PERFURADA ALTA(PERFILADOS),MEDINDO(38X38X6000)MM PRE-GALVANIZADA,INCLUSIVE SUPORTE E CONEXOES.FORNECIMENTO E COLOCACAO</t>
  </si>
  <si>
    <t>15.018.0175-0</t>
  </si>
  <si>
    <t>3.13.44</t>
  </si>
  <si>
    <t>ELETRODUTO RÍGIDO ROSCÁVEL, PVC, DN 60 MM (2"), PARA REDE ENTERRADA DE DISTRIBUIÇÃO DE ENERGIA ELÉTRICA - FORNECIMENTO E INSTALAÇÃO. AF_12/2021</t>
  </si>
  <si>
    <t>3.13.23</t>
  </si>
  <si>
    <t>ELETRODUTO FLEXÍVEL CORRUGADO REFORÇADO, PVC, DN 25 MM (3/4"), PARA CIRCUITOS TERMINAIS, INSTALADO EM LAJE - FORNECIMENTO E INSTALAÇÃO. AF_03/2023</t>
  </si>
  <si>
    <t>3.13.22</t>
  </si>
  <si>
    <t>ELETRODUTO FLEXÍVEL CORRUGADO, PVC, DN 25 MM (3/4"), PARA CIRCUITOS TERMINAIS, INSTALADO EM PAREDE - FORNECIMENTO E INSTALAÇÃO. AF_03/2023</t>
  </si>
  <si>
    <t>3.13.21</t>
  </si>
  <si>
    <t>ELETRODUTO FLEXÍVEL CORRUGADO, PVC, DN 25 MM (3/4"), PARA CIRCUITOS TERMINAIS, INSTALADO EM FORRO - FORNECIMENTO E INSTALAÇÃO. AF_03/2023</t>
  </si>
  <si>
    <t>3.13.20</t>
  </si>
  <si>
    <t>ELETRODUTO FLEXÍVEL LISO, PEAD, DN 32 MM (1"), PARA CIRCUITOS TERMINAIS, INSTALADO EM LAJE - FORNECIMENTO E INSTALAÇÃO. AF_03/2023</t>
  </si>
  <si>
    <t>3.13.19</t>
  </si>
  <si>
    <t>ELETRODUTO FLEXÍVEL CORRUGADO, PEAD, DN 63 (2"), PARA REDE ENTERRADA DE DISTRIBUIÇÃO DE ENERGIA ELÉTRICA - FORNECIMENTO E INSTALAÇÃO. AF_12/2021</t>
  </si>
  <si>
    <t>3.13.18</t>
  </si>
  <si>
    <t>ELETRODUTO FLEXÍVEL CORRUGADO, PEAD, DN 90 (3"), PARA REDE ENTERRADA DE DISTRIBUIÇÃO DE ENERGIA ELÉTRICA - FORNECIMENTO E INSTALAÇÃO. AF_12/2021</t>
  </si>
  <si>
    <t>3.13.17</t>
  </si>
  <si>
    <t>CAIXA ENTERRADA ELÉTRICA RETANGULAR, EM CONCRETO PRÉ-MOLDADO, FUNDO COM BRITA, DIMENSÕES INTERNAS: 0,3X0,3X0,3 M. AF_12/2020</t>
  </si>
  <si>
    <t>3.13.16</t>
  </si>
  <si>
    <t>APÓS A INSTALAÇÃO DE TODA A INFRAESTRUTURA DE ELÉTRICA, INTERNA E EXTERNA</t>
  </si>
  <si>
    <t>INFRAESTRUTURA DE ELÉTRICA</t>
  </si>
  <si>
    <t>EVENTO 36</t>
  </si>
  <si>
    <t>DISPOSITIVO DR, 2 POLOS, SENSIBILIDADE DE 30 MA, CORRENTE DE 25 A, TIPO AC</t>
  </si>
  <si>
    <t>3.13.43</t>
  </si>
  <si>
    <t>DISPOSITIVO DPS CLASSE II, 1 POLO, TENSAO MAXIMA DE 175 V, CORRENTE MAXIMA DE *20* KA (TIPO AC)</t>
  </si>
  <si>
    <t>3.13.42</t>
  </si>
  <si>
    <t>DISJUNTOR BIPOLAR TIPO DIN, CORRENTE NOMINAL DE 32A - FORNECIMENTO E INSTALAÇÃO. AF_10/2020</t>
  </si>
  <si>
    <t>3.13.41</t>
  </si>
  <si>
    <t>DISJUNTOR BIPOLAR TIPO DIN, CORRENTE NOMINAL DE 16A - FORNECIMENTO E INSTALAÇÃO. AF_10/2020</t>
  </si>
  <si>
    <t>3.13.40</t>
  </si>
  <si>
    <t>DISJUNTOR BIPOLAR TIPO DIN, CORRENTE NOMINAL DE 10A - FORNECIMENTO E INSTALAÇÃO. AF_10/2020</t>
  </si>
  <si>
    <t>3.13.39</t>
  </si>
  <si>
    <t>DISJUNTOR MONOPOLAR TIPO DIN, CORRENTE NOMINAL DE 25A - FORNECIMENTO E INSTALAÇÃO. AF_10/2020</t>
  </si>
  <si>
    <t>3.13.38</t>
  </si>
  <si>
    <t>DISJUNTOR MONOPOLAR TIPO DIN, CORRENTE NOMINAL DE 16A - FORNECIMENTO E INSTALAÇÃO. AF_10/2020</t>
  </si>
  <si>
    <t>3.13.37</t>
  </si>
  <si>
    <t>DISJUNTOR MONOPOLAR TIPO DIN, CORRENTE NOMINAL DE 10A - FORNECIMENTO E INSTALAÇÃO. AF_10/2020</t>
  </si>
  <si>
    <t>3.13.36</t>
  </si>
  <si>
    <t>DISJUNTOR TRIPOLAR TIPO DIN, CORRENTE NOMINAL 80A - FORNECIMENTO E INSTALAÇÃO</t>
  </si>
  <si>
    <t>COMP. 17</t>
  </si>
  <si>
    <t>3.13.35</t>
  </si>
  <si>
    <t>DISJUNTOR TRIPOLAR TIPO DIN, CORRENTE NOMINAL DE 50A - FORNECIMENTO E INSTALAÇÃO. AF_10/2020</t>
  </si>
  <si>
    <t>3.13.34</t>
  </si>
  <si>
    <t>DISJUNTOR TRIPOLAR TIPO DIN, CORRENTE NOMINAL DE 32A - FORNECIMENTO E INSTALAÇÃO. AF_10/2020</t>
  </si>
  <si>
    <t>3.13.33</t>
  </si>
  <si>
    <t>DISJUNTOR TRIPOLAR TIPO DIN, CORRENTE NOMINAL DE 25A - FORNECIMENTO E INSTALAÇÃO. AF_10/2020</t>
  </si>
  <si>
    <t>3.13.32</t>
  </si>
  <si>
    <t>DISJUNTOR TERMOMAGNÉTICO TRIPOLAR , CORRENTE NOMINAL DE 200A - FORNECIMENTO E INSTALAÇÃO. AF_10/2020</t>
  </si>
  <si>
    <t>3.13.31</t>
  </si>
  <si>
    <t>CHAVE DE TRANSFERÊNCIA, 04 POLOS, 3 POSIÇÕES, 32 A - FORNECIMENTO E INSTALAÇÃO</t>
  </si>
  <si>
    <t>COMP. 16</t>
  </si>
  <si>
    <t>3.13.30</t>
  </si>
  <si>
    <t>QUADRO DE DISTRIBUIÇÃO DE ENERGIA EM CHAPA DE AÇO GALVANIZADO, DE EMBUTIR, COM BARRAMENTO TRIFÁSICO, PARA 18 DISJUNTORES DIN 100A - FORNECIMENTO E INSTALAÇÃO. AF_10/2020</t>
  </si>
  <si>
    <t>3.13.29</t>
  </si>
  <si>
    <t>QUADRO DE DISTRIBUIÇÃO DE ENERGIA EM CHAPA DE AÇO GALVANIZADO, DE EMBUTIR, COM BARRAMENTO TRIFÁSICO, PARA 40 DISJUNTORES DIN 100A - FORNECIMENTO E INSTALAÇÃO. AF_10/2020</t>
  </si>
  <si>
    <t>3.13.28</t>
  </si>
  <si>
    <t xml:space="preserve">QUADRO DE DISTRIBUIÇÃO DE ENERGIA EM CHAPA DE AÇO GALVANIZADO, DE EMBUTIR, COM BARRAMENTO TRIFÁSICO, PARA 56 DISJUNTORES DIN 225A - FORNECIMENTO E INSTALAÇÃO. </t>
  </si>
  <si>
    <t>COMP. 15</t>
  </si>
  <si>
    <t>3.13.27</t>
  </si>
  <si>
    <t>APÓS INSTALAÇÃO DE TODOS OS QUADROS ELÉTRICOS PREVISTOS, INCLUSIVE DISJUNTORES</t>
  </si>
  <si>
    <t>INSTALAÇÃO DE QUADROS ELÉTRICOS</t>
  </si>
  <si>
    <t>EVENTO 35</t>
  </si>
  <si>
    <t>CABO DE COBRE NU 35 MM2 MEIO-DURO</t>
  </si>
  <si>
    <t>3.13.26</t>
  </si>
  <si>
    <t>POSTE DE CONCRETO,COM SECAO CIRCULAR,COM 5,00M DE COMPRIMENTO E CARGA NOMINAL NO TOPO DE 300KG,INCLUSIVE ESCAVACAO,EXCLUSIVE TRANSPORTE.FORNECIMENTO E COLOCACAO</t>
  </si>
  <si>
    <t>18.045.0012-0</t>
  </si>
  <si>
    <t>3.13.25</t>
  </si>
  <si>
    <t>ENTRADA ENERGIA INDIVIDUAL,PADRAO ENEL,MEDICAO DIRETA,REDE AEREA,47KVA E 75KVA,TRIFASICA,INCL.CAIXA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</si>
  <si>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15.011.0019-0</t>
  </si>
  <si>
    <t>3.13.24</t>
  </si>
  <si>
    <t>APÓS A CONCLUSÃO DA INSTALAÇÃO DE ENTRADA DE ENERGIA ELÉTRICA, COM LIGAÇÃO APROVADA PELA CONCESSIONÁRIA E LIGAÇÃO DEFINITIVA</t>
  </si>
  <si>
    <t>PADRÃO DE ENTRADA</t>
  </si>
  <si>
    <t>EVENTO 34</t>
  </si>
  <si>
    <t>DUTO FLEXÍVEL ALUMINIZADO CIRCULAR, DN 150MM - FORNECIMENTO E INSTALAÇÃO</t>
  </si>
  <si>
    <t>COMP. 14</t>
  </si>
  <si>
    <t>3.13.15</t>
  </si>
  <si>
    <t>KG</t>
  </si>
  <si>
    <t>DUTO PARA EXAUSTAO DE AR/VENTILACAO,CHAVETADO EM CHAPA DE ACO GALVANIZADO,NAS DIVERSAS BITOLAS,CONFORME ABNT NBR 16401,INCLUSIVE SUPORTES PINTADOS,GRELHAS,DIFUSORES EM ALUMINIO EXTRUDADO E DEMAIS ITENS NECESSARIOS.FORNECIMENTO E COLOCACAO</t>
  </si>
  <si>
    <t>15.005.0280-0</t>
  </si>
  <si>
    <t>3.13.14</t>
  </si>
  <si>
    <t>VENTILADOR IN LINE SICFLUX MODELO MAXX 315 OU EQUIVALENTE, VAZÃO 2177M3/H, PRESSÃO ESTATICA 18MMCA, COM FILTRO G4 OU M5. FORNECIMENTO E COLOCAÇÃO</t>
  </si>
  <si>
    <t>COMP. 13</t>
  </si>
  <si>
    <t>3.13.13</t>
  </si>
  <si>
    <t>MICRO EXAUSTOR,INCLUSIVE VENEZIANAS,ADAPTADOR E TUBO FLEXIVEL,PARA AMBIENTES ATE 10M3.FORNECIMENTO E COLOCACAO</t>
  </si>
  <si>
    <t>18.034.0055-0</t>
  </si>
  <si>
    <t>3.13.12</t>
  </si>
  <si>
    <t>MICRO EXAUSTOR,INCLUSIVE VENEZIANAS,ADAPTADOR E TUBO FLEXIVEL,PARA AMBIENTES ATE 7M3.FORNECIMENTO E COLOCACAO</t>
  </si>
  <si>
    <t>18.034.0050-0</t>
  </si>
  <si>
    <t>3.13.11</t>
  </si>
  <si>
    <t>APÓS INSTALAÇÃO E TESTE DE TODOS OS EQUIPAMENTOS DE VENTILAÇÃO A SEREM INSTALADOS</t>
  </si>
  <si>
    <t>INSTALAÇÃO DE VENTILAÇÃO</t>
  </si>
  <si>
    <t>EVENTO 33</t>
  </si>
  <si>
    <t>AR CONDICIONADO SPLIT INVERTER, PISO TETO, APRESENTANDO ENTRE 54000 E 58000 BTU/H, CICLO FRIO - FORNECIMENTO E INSTALAÇÃO. AF_11/2021_PE</t>
  </si>
  <si>
    <t>3.13.10</t>
  </si>
  <si>
    <t>AR CONDICIONADO SPLIT INVERTER, HI-WALL (PAREDE), 24000 BTU/H, CICLO FRIO - FORNECIMENTO E INSTALAÇÃO. AF_11/2021_PE</t>
  </si>
  <si>
    <t>3.13.9</t>
  </si>
  <si>
    <t>AR CONDICIONADO SPLIT INVERTER, HI-WALL (PAREDE), 18000 BTU/H, CICLO FRIO - FORNECIMENTO E INSTALAÇÃO. AF_11/2021_PE</t>
  </si>
  <si>
    <t>3.13.8</t>
  </si>
  <si>
    <t>AR CONDICIONADO SPLIT INVERTER, HI-WALL (PAREDE), 12000 BTU/H, CICLO FRIO - FORNECIMENTO E INSTALAÇÃO. AF_11/2021_PE</t>
  </si>
  <si>
    <t>3.13.7</t>
  </si>
  <si>
    <t>AR CONDICIONADO SPLIT INVERTER, HI-WALL (PAREDE), 9000 BTU/H, CICLO FRIO - FORNECIMENTO E INSTALAÇÃO. AF_11/2021_PE</t>
  </si>
  <si>
    <t>3.13.6</t>
  </si>
  <si>
    <t>CABO FLEXIVEL PVC 750 V, 4 CONDUTORES DE 4,0 MM2</t>
  </si>
  <si>
    <t>3.13.5</t>
  </si>
  <si>
    <t>TUBO DE COBRE FLEXIVEL, D = 7/8 ", E = 0,79 MM, PARA AR-CONDICIONADO/ INSTALACOES GAS RESIDENCIAIS E COMERCIAIS</t>
  </si>
  <si>
    <t>COMP. 12</t>
  </si>
  <si>
    <t>3.13.4</t>
  </si>
  <si>
    <t>TUBO EM COBRE FLEXÍVEL, DN 1/2", COM ISOLAMENTO, INSTALADO EM RAMAL DE ALIMENTAÇÃO DE AR CONDICIONADO COM CONDENSADORA INDIVIDUAL  FORNECIMENTO E INSTALAÇÃO. AF_12/2015</t>
  </si>
  <si>
    <t>3.13.3</t>
  </si>
  <si>
    <t>TUBO EM COBRE FLEXÍVEL, DN 3/8", COM ISOLAMENTO, INSTALADO EM RAMAL DE ALIMENTAÇÃO DE AR CONDICIONADO COM CONDENSADORA INDIVIDUAL  FORNECIMENTO E INSTALAÇÃO. AF_12/2015</t>
  </si>
  <si>
    <t>3.13.2</t>
  </si>
  <si>
    <t>TUBO EM COBRE FLEXÍVEL, DN 1/4, COM ISOLAMENTO, INSTALADO EM RAMAL DE ALIMENTAÇÃO DE AR CONDICIONADO COM CONDENSADORA INDIVIDUAL   FORNECIMENTO E INSTALAÇÃO. AF_12/2015</t>
  </si>
  <si>
    <t>3.13.1</t>
  </si>
  <si>
    <t>APÓS INSTALAÇÃO E TESTE DE TODOS OS EQUIPAMENTOS DE AR CONDICIONADO A SEREM INSTALADOS</t>
  </si>
  <si>
    <t>INSTALAÇÃO DE AR CONDICIONADO</t>
  </si>
  <si>
    <t>EVENTO 32</t>
  </si>
  <si>
    <t>CAIXA PARA BOCA DE LOBO COMBINADA COM GRELHA RETANGULAR, EM ALVENARIA COM BLOCOS DE CONCRETO, DIMENSÕES INTERNAS: 1,3X1X1,2 M. AF_12/2020</t>
  </si>
  <si>
    <t>3.12.96</t>
  </si>
  <si>
    <t>FILTRO ANAEROBIO,DE ANEIS DE CONCRETO PRE-MOLDADO,MEDINDO 2000X2000MM.FORNECIMENTO E COLOCACAO</t>
  </si>
  <si>
    <t>15.002.0664-0</t>
  </si>
  <si>
    <t>3.12.91</t>
  </si>
  <si>
    <t>FOSSA SEPTICA,DE CAMARA UNICA,TIPO CILINDRICA,DE CONCRETO PRE-MOLDADO,MEDINDO 2000X2000MM.FORNECIMENTO E COLOCACAO</t>
  </si>
  <si>
    <t>15.002.0630-0</t>
  </si>
  <si>
    <t>3.12.90</t>
  </si>
  <si>
    <t>APÓS A CONCLUSÃO DA INSTALAÇÃO DE SISTEMA DE TRATAMENTO DE ESGOTO, DEVIDAMENTE TESTADAS PARA FUNCIONAMENTO</t>
  </si>
  <si>
    <t>INSTALAÇÃO DE SISTEMA DE TRATAMENTO</t>
  </si>
  <si>
    <t>EVENTO 31</t>
  </si>
  <si>
    <t>CAIXA D´ÁGUA EM POLIETILENO, 1000 LITROS - FORNECIMENTO E INSTALAÇÃO. AF_06/2021</t>
  </si>
  <si>
    <t>3.16.15</t>
  </si>
  <si>
    <t>3.12.93</t>
  </si>
  <si>
    <t>RASGO LINEAR MECANIZADO EM ALVENARIA, PARA RAMAIS/ DISTRIBUIÇÃO DE INSTALAÇÕES HIDRÁULICAS, DIÂMETROS MENORES OU IGUAIS A 40 MM. AF_09/2023</t>
  </si>
  <si>
    <t>3.12.92</t>
  </si>
  <si>
    <t>TÊ COM BUCHA DE LATÃO NA BOLSA CENTRAL, PVC, SOLDÁVEL, DN 25MM X 3/4 , INSTALADO EM RAMAL OU SUB-RAMAL DE ÁGUA - FORNECIMENTO E INSTALAÇÃO. AF_06/2022</t>
  </si>
  <si>
    <t>3.12.89</t>
  </si>
  <si>
    <t>TÊ COM BUCHA DE LATÃO NA BOLSA CENTRAL, PVC, SOLDÁVEL, DN 25MM X 1/2 , INSTALADO EM RAMAL OU SUB-RAMAL DE ÁGUA - FORNECIMENTO E INSTALAÇÃO. AF_06/2022</t>
  </si>
  <si>
    <t>3.12.88</t>
  </si>
  <si>
    <t>JOELHO 90 GRAUS COM BUCHA DE LATÃO, PVC, SOLDÁVEL, DN 25MM, X 1/2  INSTALADO EM RAMAL OU SUB-RAMAL DE ÁGUA - FORNECIMENTO E INSTALAÇÃO. AF_06/2022</t>
  </si>
  <si>
    <t>3.12.87</t>
  </si>
  <si>
    <t>VÁLVULA DE RETENÇÃO, DE BRONZE, PÉ COM CRIVOS, ROSCÁVEL, 1 1/2" - FORNECIMENTO E INSTALAÇÃO. AF_08/2021</t>
  </si>
  <si>
    <t>3.12.86</t>
  </si>
  <si>
    <t>ADAPTADOR CURTO COM BOLSA E ROSCA PARA REGISTRO, PVC, SOLDÁVEL, DN 25MM X 3/4 , INSTALADO EM RAMAL OU SUB-RAMAL DE ÁGUA - FORNECIMENTO E INSTALAÇÃO. AF_06/2022</t>
  </si>
  <si>
    <t>3.12.85</t>
  </si>
  <si>
    <t>ADAPTADOR COM FLANGE E ANEL DE VEDAÇÃO, PVC, SOLDÁVEL, DN 32 MM X 1 , INSTALADO EM RESERVAÇÃO DE ÁGUA DE EDIFICAÇÃO QUE POSSUA RESERVATÓRIO DE FIBRA/FIBROCIMENTO   FORNECIMENTO E INSTALAÇÃO. AF_06/2016</t>
  </si>
  <si>
    <t>3.12.84</t>
  </si>
  <si>
    <t>ADAPTADOR COM FLANGE E ANEL DE VEDAÇÃO, PVC, SOLDÁVEL, DN 50 MM X 1 1/2 , INSTALADO EM RESERVAÇÃO DE ÁGUA DE EDIFICAÇÃO QUE POSSUA RESERVATÓRIO DE FIBRA/FIBROCIMENTO   FORNECIMENTO E INSTALAÇÃO. AF_06/2016</t>
  </si>
  <si>
    <t>3.12.83</t>
  </si>
  <si>
    <t>LUVA DE REDUÇÃO, PVC, SOLDÁVEL, DN 32MM X 25MM, INSTALADO EM RAMAL DE DISTRIBUIÇÃO DE ÁGUA - FORNECIMENTO E INSTALAÇÃO. AF_06/2022</t>
  </si>
  <si>
    <t>3.12.82</t>
  </si>
  <si>
    <t>BUCHA DE REDUÇÃO , LONGA, PVC, SOLDÁVEL, DN 50 X 32 MM, INSTALADO EM RAMAL DE DISTRIBUIÇÃO DE ÁGUA - FORNECIMENTO E INSTALAÇÃO. AF_06/2022</t>
  </si>
  <si>
    <t>3.12.81</t>
  </si>
  <si>
    <t>BUCHA DE REDUÇÃO, LONGA, PVC, SOLDÁVEL, DN 50 X 25 MM, INSTALADO EM RAMAL DE DISTRIBUIÇÃO DE ÁGUA - FORNECIMENTO E INSTALAÇÃO. AF_06/2022</t>
  </si>
  <si>
    <t>3.12.80</t>
  </si>
  <si>
    <t>TÊ DE REDUÇÃO, PVC, SOLDÁVEL, DN 50MM X 25MM, INSTALADO EM RAMAL DE DISTRIBUIÇÃO DE ÁGUA - FORNECIMENTO E INSTALAÇÃO. AF_06/2022</t>
  </si>
  <si>
    <t>3.12.79</t>
  </si>
  <si>
    <t>TE, PVC, SOLDÁVEL, DN 25MM, INSTALADO EM RAMAL DE DISTRIBUIÇÃO DE ÁGUA - FORNECIMENTO E INSTALAÇÃO. AF_06/2022</t>
  </si>
  <si>
    <t>3.12.78</t>
  </si>
  <si>
    <t>TE, PVC, SOLDÁVEL, DN 32 MM, INSTALADO EM DRENO DE AR CONDICIONADO - FORNECIMENTO E INSTALAÇÃO. AF_08/2022</t>
  </si>
  <si>
    <t>3.12.77</t>
  </si>
  <si>
    <t>TE, PVC, SOLDÁVEL, DN 32MM, INSTALADO EM RAMAL OU SUB-RAMAL DE ÁGUA - FORNECIMENTO E INSTALAÇÃO. AF_06/2022</t>
  </si>
  <si>
    <t>3.12.76</t>
  </si>
  <si>
    <t>TE, PVC, SOLDÁVEL, DN 50MM, INSTALADO EM RAMAL DE DISTRIBUIÇÃO DE ÁGUA - FORNECIMENTO E INSTALAÇÃO. AF_06/2022</t>
  </si>
  <si>
    <t>3.12.75</t>
  </si>
  <si>
    <t>LUVA COM REDUÇÃO, EM AÇO, CONEXÃO SOLDADA, DN 40  X 32 MM (1 1/2" X 1 1/4"), INSTALADO EM REDE DE ALIMENTAÇÃO PARA HIDRANTE - FORNECIMENTO E INSTALAÇÃO. AF_10/2020</t>
  </si>
  <si>
    <t>3.12.74</t>
  </si>
  <si>
    <t>LUVA, PVC, SOLDÁVEL, DN 25MM, INSTALADO EM RAMAL OU SUB-RAMAL DE ÁGUA - FORNECIMENTO E INSTALAÇÃO. AF_06/2022</t>
  </si>
  <si>
    <t>3.12.73</t>
  </si>
  <si>
    <t>LUVA, PVC, SOLDÁVEL, DN 32MM, INSTALADO EM RAMAL OU SUB-RAMAL DE ÁGUA - FORNECIMENTO E INSTALAÇÃO. AF_06/2022</t>
  </si>
  <si>
    <t>3.12.72</t>
  </si>
  <si>
    <t>LUVA DE CORRER, PVC, SOLDÁVEL, DN 50MM, INSTALADO EM RAMAL DE DISTRIBUIÇÃO DE ÁGUA - FORNECIMENTO E INSTALAÇÃO. AF_06/2022</t>
  </si>
  <si>
    <t>3.12.71</t>
  </si>
  <si>
    <t>LUVA, PVC, SOLDÁVEL, DN 50MM, INSTALADO EM RAMAL DE DISTRIBUIÇÃO DE ÁGUA - FORNECIMENTO E INSTALAÇÃO. AF_06/2022</t>
  </si>
  <si>
    <t>3.12.70</t>
  </si>
  <si>
    <t>JOELHO 45 GRAUS, PVC, SOLDÁVEL, DN 25MM, INSTALADO EM RAMAL OU SUB-RAMAL DE ÁGUA - FORNECIMENTO E INSTALAÇÃO. AF_06/2022</t>
  </si>
  <si>
    <t>3.12.69</t>
  </si>
  <si>
    <t>JOELHO 90 GRAUS, PVC, SOLDÁVEL, DN 25MM, INSTALADO EM RAMAL OU SUB-RAMAL DE ÁGUA - FORNECIMENTO E INSTALAÇÃO. AF_06/2022</t>
  </si>
  <si>
    <t>3.12.68</t>
  </si>
  <si>
    <t>CURVA 90 GRAUS, PVC, SOLDÁVEL, DN 32MM, INSTALADO EM RAMAL OU SUB-RAMAL DE ÁGUA - FORNECIMENTO E INSTALAÇÃO. AF_06/2022</t>
  </si>
  <si>
    <t>3.12.67</t>
  </si>
  <si>
    <t>JOELHO 90 GRAUS, PVC, SOLDÁVEL, DN 32 MM, INSTALADO EM DRENO DE AR CONDICIONADO - FORNECIMENTO E INSTALAÇÃO. AF_08/2022</t>
  </si>
  <si>
    <t>3.12.66</t>
  </si>
  <si>
    <t>JOELHO 90 GRAUS, PVC, SOLDÁVEL, DN 32MM, INSTALADO EM RAMAL OU SUB-RAMAL DE ÁGUA - FORNECIMENTO E INSTALAÇÃO. AF_06/2022</t>
  </si>
  <si>
    <t>3.12.65</t>
  </si>
  <si>
    <t>JOELHO 90 GRAUS, PVC, SOLDÁVEL, DN 50MM, INSTALADO EM RAMAL DE DISTRIBUIÇÃO DE ÁGUA - FORNECIMENTO E INSTALAÇÃO. AF_06/2022</t>
  </si>
  <si>
    <t>3.12.64</t>
  </si>
  <si>
    <t>JOELHO 45 GRAUS, PVC, SOLDÁVEL, DN 32 MM, INSTALADO EM DRENO DE AR CONDICIONADO - FORNECIMENTO E INSTALAÇÃO. AF_08/2022</t>
  </si>
  <si>
    <t>3.12.63</t>
  </si>
  <si>
    <t>JOELHO 45 GRAUS, PVC, SOLDÁVEL, DN 32MM, INSTALADO EM RAMAL OU SUB-RAMAL DE ÁGUA - FORNECIMENTO E INSTALAÇÃO. AF_06/2022</t>
  </si>
  <si>
    <t>3.12.62</t>
  </si>
  <si>
    <t>REGISTRO DE GAVETA BRUTO, LATÃO, ROSCÁVEL, 3/4", COM ACABAMENTO E CANOPLA CROMADOS - FORNECIMENTO E INSTALAÇÃO. AF_08/2021</t>
  </si>
  <si>
    <t>3.12.61</t>
  </si>
  <si>
    <t>REGISTRO DE ESFERA, PVC, SOLDÁVEL, COM VOLANTE, DN  50 MM - FORNECIMENTO E INSTALAÇÃO. AF_08/2021</t>
  </si>
  <si>
    <t>3.12.60</t>
  </si>
  <si>
    <t>REGISTRO DE ESFERA, PVC, SOLDÁVEL, COM VOLANTE, DN  32 MM - FORNECIMENTO E INSTALAÇÃO. AF_08/2021</t>
  </si>
  <si>
    <t>3.12.59</t>
  </si>
  <si>
    <t>REGISTRO DE ESFERA, PVC, ROSCÁVEL, COM VOLANTE, 3/4" - FORNECIMENTO E INSTALAÇÃO. AF_08/2021</t>
  </si>
  <si>
    <t>3.12.58</t>
  </si>
  <si>
    <t>TUBO, PVC, SOLDÁVEL, DN 25MM, INSTALADO EM RAMAL OU SUB-RAMAL DE ÁGUA - FORNECIMENTO E INSTALAÇÃO. AF_06/2022</t>
  </si>
  <si>
    <t>3.12.57</t>
  </si>
  <si>
    <t>TUBO, PVC, SOLDÁVEL, DN 32MM, INSTALADO EM RAMAL OU SUB-RAMAL DE ÁGUA - FORNECIMENTO E INSTALAÇÃO. AF_06/2022</t>
  </si>
  <si>
    <t>3.12.56</t>
  </si>
  <si>
    <t>TUBO, PVC, SOLDÁVEL, DN 50MM, INSTALADO EM RAMAL DE DISTRIBUIÇÃO DE ÁGUA - FORNECIMENTO E INSTALAÇÃO. AF_06/2022</t>
  </si>
  <si>
    <t>3.12.55</t>
  </si>
  <si>
    <t>APÓS A CONCLUSÃO DE  TODAS AS INSTALAÇÕES DE INSTALAÇÕES DE ÁGUA FRIA COMPREENDENDO BARRILETE, ALIMENTAÇÃO E DISTRIBUIÇÃO, DEVIDAMENTE TESTADAS PARA FUNCIONAMENTO</t>
  </si>
  <si>
    <t>INSTALAÇÕES DE AGUA FRIA</t>
  </si>
  <si>
    <t>EVENTO 30</t>
  </si>
  <si>
    <t>FIXAÇÃO DE TUBOS VERTICAIS DE PVC ÁGUA, PVC ESGOTO, PVC ÁGUA PLUVIAL, CPVC, PPR, COBRE OU AÇO, DIÂMETROS MAIORES QUE 75 MM E MENORES OU IGUAIS A 100 MM, COM ABRAÇADEIRA METÁLICA RÍGIDA TIPO U PERFIL 4, FIXADA EM PERFILADO EM PAREDE. AF_09/2023_PS</t>
  </si>
  <si>
    <t>3.12.95</t>
  </si>
  <si>
    <t>FIXAÇÃO DE TUBOS VERTICAIS DE PVC ÁGUA, PVC ESGOTO, PVC ÁGUA PLUVIAL, CPVC, PPR, COBRE OU AÇO, DIÂMETROS MAIORES QUE 40 MM E MENORES OU IGUAIS A 75 MM, COM ABRAÇADEIRA METÁLICA RÍGIDA TIPO U PERFIL 2 1/2, FIXADA EM PERFILADO EM PAREDE. AF_09/2023_PS</t>
  </si>
  <si>
    <t>3.12.94</t>
  </si>
  <si>
    <t>CAIXA COM GRELHA SIMPLES RETANGULAR, EM ALVENARIA COM BLOCOS DE CONCRETO, DIMENSÕES INTERNAS: 0,5X1X1 M. AF_12/2020</t>
  </si>
  <si>
    <t>3.12.54</t>
  </si>
  <si>
    <t>RALO DE COBERTURA SEMI-ESFERICO(TIPO ABACAXI),COM 4".FORNECIMENTO E COLOCACAO</t>
  </si>
  <si>
    <t>15.003.0178-0</t>
  </si>
  <si>
    <t>3.12.53</t>
  </si>
  <si>
    <t>TE, PVC, SERIE NORMAL, ESGOTO PREDIAL, DN 50 X 50 MM, JUNTA ELÁSTICA, FORNECIDO E INSTALADO EM PRUMADA DE ESGOTO SANITÁRIO OU VENTILAÇÃO. AF_08/2022</t>
  </si>
  <si>
    <t>3.12.52</t>
  </si>
  <si>
    <t>TERMINAL DE VENTILAÇÃO, PVC, SÉRIE NORMAL, ESGOTO PREDIAL, DN 50 MM, JUNTA SOLDÁVEL, FORNECIDO E INSTALADO EM PRUMADA DE ESGOTO SANITÁRIO OU VENTILAÇÃO. AF_08/2022</t>
  </si>
  <si>
    <t>3.12.51</t>
  </si>
  <si>
    <t>JUNÇÃO DE REDUÇÃO INVERTIDA, PVC, SÉRIE NORMAL, ESGOTO PREDIAL, DN 75 X 50 MM, JUNTA ELÁSTICA, FORNECIDO E INSTALADO EM PRUMADA DE ESGOTO SANITÁRIO OU VENTILAÇÃO. AF_08/2022</t>
  </si>
  <si>
    <t>3.12.50</t>
  </si>
  <si>
    <t>JUNÇÃO SIMPLES, PVC, SERIE NORMAL, ESGOTO PREDIAL, DN 50 X 50 MM, JUNTA ELÁSTICA, FORNECIDO E INSTALADO EM PRUMADA DE ESGOTO SANITÁRIO OU VENTILAÇÃO. AF_08/2022</t>
  </si>
  <si>
    <t>3.12.49</t>
  </si>
  <si>
    <t>JOELHO 45 GRAUS, PVC, SERIE NORMAL, ESGOTO PREDIAL, DN 50 MM, JUNTA ELÁSTICA, FORNECIDO E INSTALADO EM PRUMADA DE ESGOTO SANITÁRIO OU VENTILAÇÃO. AF_08/2022</t>
  </si>
  <si>
    <t>3.12.48</t>
  </si>
  <si>
    <t>JOELHO 90 GRAUS, PVC, SERIE NORMAL, ESGOTO PREDIAL, DN 50 MM, JUNTA ELÁSTICA, FORNECIDO E INSTALADO EM PRUMADA DE ESGOTO SANITÁRIO OU VENTILAÇÃO. AF_08/2022</t>
  </si>
  <si>
    <t>3.12.47</t>
  </si>
  <si>
    <t>TUBO PVC, SERIE NORMAL, ESGOTO PREDIAL, DN 50 MM, FORNECIDO E INSTALADO EM PRUMADA DE ESGOTO SANITÁRIO OU VENTILAÇÃO. AF_08/2022</t>
  </si>
  <si>
    <t>3.12.46</t>
  </si>
  <si>
    <t>JUNÇÃO SIMPLES, PVC, SERIE R, ÁGUA PLUVIAL, DN 100 X 75 MM, JUNTA ELÁSTICA, FORNECIDO E INSTALADO EM RAMAL DE ENCAMINHAMENTO. AF_06/2022</t>
  </si>
  <si>
    <t>3.12.45</t>
  </si>
  <si>
    <t>JOELHO 90 GRAUS, PVC, SERIE R, ÁGUA PLUVIAL, DN 75 MM, JUNTA ELÁSTICA, FORNECIDO E INSTALADO EM RAMAL DE ENCAMINHAMENTO. AF_06/2022</t>
  </si>
  <si>
    <t>3.12.44</t>
  </si>
  <si>
    <t>CURVA 90 GRAUS, PVC, SERIE R, ÁGUA PLUVIAL, DN 100 MM, JUNTA ELÁSTICA, FORNECIDO E INSTALADO EM RAMAL DE ENCAMINHAMENTO. AF_06/2022</t>
  </si>
  <si>
    <t>3.12.43</t>
  </si>
  <si>
    <t>JOELHO 45 GRAUS, PVC, SERIE R, ÁGUA PLUVIAL, DN 75 MM, JUNTA ELÁSTICA, FORNECIDO E INSTALADO EM RAMAL DE ENCAMINHAMENTO. AF_06/2022</t>
  </si>
  <si>
    <t>3.12.42</t>
  </si>
  <si>
    <t>JOELHO 45 GRAUS, PVC, SERIE R, ÁGUA PLUVIAL, DN 100 MM, JUNTA ELÁSTICA, FORNECIDO E INSTALADO EM RAMAL DE ENCAMINHAMENTO. AF_06/2022</t>
  </si>
  <si>
    <t>3.12.41</t>
  </si>
  <si>
    <t>JOELHO 45 GRAUS, PVC, SERIE R, ÁGUA PLUVIAL, DN 150 MM, JUNTA ELÁSTICA, FORNECIDO E INSTALADO EM RAMAL DE ENCAMINHAMENTO. AF_06/2022</t>
  </si>
  <si>
    <t>3.12.40</t>
  </si>
  <si>
    <t>TUBO, PVC, SOLDÁVEL, DN 32 MM, INSTALADO EM DRENO DE AR CONDICIONADO - FORNECIMENTO E INSTALAÇÃO. AF_08/2022</t>
  </si>
  <si>
    <t>3.12.39</t>
  </si>
  <si>
    <t>TUBO PVC, SÉRIE R, ÁGUA PLUVIAL, DN 75 MM, FORNECIDO E INSTALADO EM RAMAL DE ENCAMINHAMENTO. AF_06/2022</t>
  </si>
  <si>
    <t>3.12.38</t>
  </si>
  <si>
    <t>TUBO PVC, SÉRIE R, ÁGUA PLUVIAL, DN 100 MM, FORNECIDO E INSTALADO EM RAMAL DE ENCAMINHAMENTO. AF_06/2022</t>
  </si>
  <si>
    <t>3.12.37</t>
  </si>
  <si>
    <t>TUBO PVC, SÉRIE R, ÁGUA PLUVIAL, DN 150 MM, FORNECIDO E INSTALADO EM RAMAL DE ENCAMINHAMENTO. AF_06/2022</t>
  </si>
  <si>
    <t>3.12.36</t>
  </si>
  <si>
    <t>APÓS A CONCLUSÃO DE  TODAS AS INSTALAÇÕES DE DRENO DE AR CONDICIONADO E PLUVIAL, DEVIDAMENTE TESTADAS PARA FUNCIONAMENTO</t>
  </si>
  <si>
    <t>INSTALAÇÃO DE DRENOS E PLUVIAL</t>
  </si>
  <si>
    <t>EVENTO 29</t>
  </si>
  <si>
    <t>TE, PVC, SÉRIE NORMAL, ESGOTO PREDIAL, DN 100 X 50 MM, JUNTA ELÁSTICA, FORNECIDO E INSTALADO EM RAMAL DE DESCARGA OU RAMAL DE ESGOTO SANITÁRIO. AF_08/2022</t>
  </si>
  <si>
    <t>3.12.35</t>
  </si>
  <si>
    <t>TE, PVC, SERIE NORMAL, ESGOTO PREDIAL, DN 100 X 100 MM, JUNTA ELÁSTICA, FORNECIDO E INSTALADO EM RAMAL DE DESCARGA OU RAMAL DE ESGOTO SANITÁRIO. AF_08/2022</t>
  </si>
  <si>
    <t>3.12.34</t>
  </si>
  <si>
    <t>REDUÇÃO EXCÊNTRICA, PVC, SERIE R, ÁGUA PLUVIAL, DN 75 X 50 MM, JUNTA ELÁSTICA, FORNECIDO E INSTALADO EM RAMAL DE ENCAMINHAMENTO. AF_06/2022</t>
  </si>
  <si>
    <t>3.12.33</t>
  </si>
  <si>
    <t>LUVA SIMPLES, PVC, SERIE NORMAL, ESGOTO PREDIAL, DN 40 MM, JUNTA SOLDÁVEL, FORNECIDO E INSTALADO EM RAMAL DE DESCARGA OU RAMAL DE ESGOTO SANITÁRIO. AF_08/2022</t>
  </si>
  <si>
    <t>3.12.32</t>
  </si>
  <si>
    <t>LUVA SIMPLES, PVC, SERIE NORMAL, ESGOTO PREDIAL, DN 50 MM, JUNTA ELÁSTICA, FORNECIDO E INSTALADO EM RAMAL DE DESCARGA OU RAMAL DE ESGOTO SANITÁRIO. AF_08/2022</t>
  </si>
  <si>
    <t>3.12.31</t>
  </si>
  <si>
    <t>LUVA SIMPLES, PVC, SERIE NORMAL, ESGOTO PREDIAL, DN 75 MM, JUNTA ELÁSTICA, FORNECIDO E INSTALADO EM RAMAL DE DESCARGA OU RAMAL DE ESGOTO SANITÁRIO. AF_08/2022</t>
  </si>
  <si>
    <t>3.12.30</t>
  </si>
  <si>
    <t>LUVA SIMPLES, PVC, SERIE NORMAL, ESGOTO PREDIAL, DN 100 MM, JUNTA ELÁSTICA, FORNECIDO E INSTALADO EM RAMAL DE DESCARGA OU RAMAL DE ESGOTO SANITÁRIO. AF_08/2022</t>
  </si>
  <si>
    <t>3.12.29</t>
  </si>
  <si>
    <t>JUNÇÃO SIMPLES, PVC, SERIE NORMAL, ESGOTO PREDIAL, DN 40 MM, JUNTA SOLDÁVEL, FORNECIDO E INSTALADO EM RAMAL DE DESCARGA OU RAMAL DE ESGOTO SANITÁRIO. AF_08/2022</t>
  </si>
  <si>
    <t>3.12.28</t>
  </si>
  <si>
    <t>JUNÇÃO SIMPLES, PVC, SERIE NORMAL, ESGOTO PREDIAL, DN 50 X 50 MM, JUNTA ELÁSTICA, FORNECIDO E INSTALADO EM RAMAL DE DESCARGA OU RAMAL DE ESGOTO SANITÁRIO. AF_08/2022</t>
  </si>
  <si>
    <t>3.12.27</t>
  </si>
  <si>
    <t>JUNÇÃO SIMPLES, PVC, SERIE NORMAL, ESGOTO PREDIAL, DN 100 X 100 MM, JUNTA ELÁSTICA, FORNECIDO E INSTALADO EM RAMAL DE DESCARGA OU RAMAL DE ESGOTO SANITÁRIO. AF_08/2022</t>
  </si>
  <si>
    <t>3.12.26</t>
  </si>
  <si>
    <t>JUNÇÃO DE REDUÇÃO INVERTIDA, PVC, SÉRIE NORMAL, ESGOTO PREDIAL, DN 100 X 50 MM, JUNTA ELÁSTICA, FORNECIDO E INSTALADO EM RAMAL DE DESCARGA OU RAMAL DE ESGOTO SANITÁRIO. AF_08/2022</t>
  </si>
  <si>
    <t>3.12.25</t>
  </si>
  <si>
    <t>JOELHO 90 GRAUS, PVC, SERIE NORMAL, ESGOTO PREDIAL, DN 40 MM, JUNTA SOLDÁVEL, FORNECIDO E INSTALADO EM RAMAL DE DESCARGA OU RAMAL DE ESGOTO SANITÁRIO. AF_08/2022</t>
  </si>
  <si>
    <t>3.12.24</t>
  </si>
  <si>
    <t>CURVA CURTA 90 GRAUS, PVC, SERIE NORMAL, ESGOTO PREDIAL, DN 40 MM, JUNTA SOLDÁVEL, FORNECIDO E INSTALADO EM RAMAL DE DESCARGA OU RAMAL DE ESGOTO SANITÁRIO. AF_08/2022</t>
  </si>
  <si>
    <t>3.12.23</t>
  </si>
  <si>
    <t>JOELHO 90 GRAUS, PVC, SERIE NORMAL, ESGOTO PREDIAL, DN 50 MM, JUNTA ELÁSTICA, FORNECIDO E INSTALADO EM RAMAL DE DESCARGA OU RAMAL DE ESGOTO SANITÁRIO. AF_08/2022</t>
  </si>
  <si>
    <t>3.12.22</t>
  </si>
  <si>
    <t>JOELHO 90 GRAUS, PVC, SERIE NORMAL, ESGOTO PREDIAL, DN 100 MM, JUNTA ELÁSTICA, FORNECIDO E INSTALADO EM RAMAL DE DESCARGA OU RAMAL DE ESGOTO SANITÁRIO. AF_08/2022</t>
  </si>
  <si>
    <t>3.12.21</t>
  </si>
  <si>
    <t>CURVA CURTA 90 GRAUS, PVC, SERIE NORMAL, ESGOTO PREDIAL, DN 100 MM, JUNTA ELÁSTICA, FORNECIDO E INSTALADO EM RAMAL DE DESCARGA OU RAMAL DE ESGOTO SANITÁRIO. AF_08/2022</t>
  </si>
  <si>
    <t>3.12.20</t>
  </si>
  <si>
    <t>JOELHO 45 GRAUS, PVC, SERIE NORMAL, ESGOTO PREDIAL, DN 40 MM, JUNTA SOLDÁVEL, FORNECIDO E INSTALADO EM RAMAL DE DESCARGA OU RAMAL DE ESGOTO SANITÁRIO. AF_08/2022</t>
  </si>
  <si>
    <t>3.12.19</t>
  </si>
  <si>
    <t>JOELHO 45 GRAUS, PVC, SERIE NORMAL, ESGOTO PREDIAL, DN 50 MM, JUNTA ELÁSTICA, FORNECIDO E INSTALADO EM RAMAL DE DESCARGA OU RAMAL DE ESGOTO SANITÁRIO. AF_08/2022</t>
  </si>
  <si>
    <t>3.12.18</t>
  </si>
  <si>
    <t>JOELHO 45 GRAUS, PVC, SERIE NORMAL, ESGOTO PREDIAL, DN 75 MM, JUNTA ELÁSTICA, FORNECIDO E INSTALADO EM RAMAL DE DESCARGA OU RAMAL DE ESGOTO SANITÁRIO. AF_08/2022</t>
  </si>
  <si>
    <t>3.12.17</t>
  </si>
  <si>
    <t>JOELHO 45 GRAUS, PVC, SERIE NORMAL, ESGOTO PREDIAL, DN 100 MM, JUNTA ELÁSTICA, FORNECIDO E INSTALADO EM RAMAL DE DESCARGA OU RAMAL DE ESGOTO SANITÁRIO. AF_08/2022</t>
  </si>
  <si>
    <t>3.12.16</t>
  </si>
  <si>
    <t>CURVA LONGA, 45 GRAUS, PVC OCRE, JUNTA ELÁSTICA, DN 100 MM, PARA COLETOR PREDIAL DE ESGOTO. AF_06/2022</t>
  </si>
  <si>
    <t>3.12.15</t>
  </si>
  <si>
    <t>TUBO, PVC OCRE, JUNTA ELÁSTICA, DN 150 MM, PARA COLETOR PREDIAL DE ESGOTO. AF_06/2022</t>
  </si>
  <si>
    <t>3.12.14</t>
  </si>
  <si>
    <t>TUBO PVC, SERIE NORMAL, ESGOTO PREDIAL, DN 100 MM, FORNECIDO E INSTALADO EM RAMAL DE DESCARGA OU RAMAL DE ESGOTO SANITÁRIO. AF_08/2022</t>
  </si>
  <si>
    <t>3.12.13</t>
  </si>
  <si>
    <t>TUBO PVC, SERIE NORMAL, ESGOTO PREDIAL, DN 75 MM, FORNECIDO E INSTALADO EM RAMAL DE DESCARGA OU RAMAL DE ESGOTO SANITÁRIO. AF_08/2022</t>
  </si>
  <si>
    <t>3.12.12</t>
  </si>
  <si>
    <t>TUBO PVC, SERIE NORMAL, ESGOTO PREDIAL, DN 50 MM, FORNECIDO E INSTALADO EM RAMAL DE DESCARGA OU RAMAL DE ESGOTO SANITÁRIO. AF_08/2022</t>
  </si>
  <si>
    <t>3.12.11</t>
  </si>
  <si>
    <t>TUBO PVC, SERIE NORMAL, ESGOTO PREDIAL, DN 40 MM, FORNECIDO E INSTALADO EM RAMAL DE DESCARGA OU RAMAL DE ESGOTO SANITÁRIO. AF_08/2022</t>
  </si>
  <si>
    <t>3.12.10</t>
  </si>
  <si>
    <t>CAIXA SIFONADA, PVC, DN 150 X 185 X 75 MM, JUNTA ELÁSTICA, FORNECIDA E INSTALADA EM RAMAL DE DESCARGA OU EM RAMAL DE ESGOTO SANITÁRIO. AF_08/2022</t>
  </si>
  <si>
    <t>3.12.9</t>
  </si>
  <si>
    <t>CAIXA SIFONADA, PVC, DN 100 X 100 X 50 MM, JUNTA ELÁSTICA, FORNECIDA E INSTALADA EM RAMAL DE DESCARGA OU EM RAMAL DE ESGOTO SANITÁRIO. AF_08/2022</t>
  </si>
  <si>
    <t>3.12.8</t>
  </si>
  <si>
    <t>TAMPA CIRCULAR PARA ESGOTO E DRENAGEM, EM FERRO FUNDIDO, DIÂMETRO INTERNO = 0,6 M. AF_12/2020</t>
  </si>
  <si>
    <t>3.12.7</t>
  </si>
  <si>
    <t>POÇO DE INSPEÇÃO CIRCULAR PARA ESGOTO, EM CONCRETO PRÉ-MOLDADO, DIÂMETRO INTERNO = 0,60 M, PROFUNDIDADE = 0,90 M, EXCLUINDO TAMPÃO. AF_12/2020_PA</t>
  </si>
  <si>
    <t>3.12.6</t>
  </si>
  <si>
    <t>CAIXA DE GORDURA SIMPLES, CIRCULAR, EM CONCRETO PRÉ-MOLDADO, DIÂMETRO INTERNO = 0,4 M, ALTURA INTERNA = 0,4 M. AF_12/2020</t>
  </si>
  <si>
    <t>3.12.5</t>
  </si>
  <si>
    <t>APÓS A CONCLUSÃO DE  TODAS AS INSTALAÇÕES DE ESGOTO, DEVIDAMENTE TESTADAS PARA FUNCIONAMENTO</t>
  </si>
  <si>
    <t>INSTALAÇÃO DE ESGOTO</t>
  </si>
  <si>
    <t>EVENTO 28</t>
  </si>
  <si>
    <t>KIT CAVALETE PARA MEDIÇÃO DE ÁGUA - ENTRADA PRINCIPAL, EM PVC SOLDÁVEL DN 25 (¾")   FORNECIMENTO E INSTALAÇÃO (EXCLUSIVE HIDRÔMETRO). AF_11/2016</t>
  </si>
  <si>
    <t>3.12.4</t>
  </si>
  <si>
    <t>HIDROMETRO UNIJATO / MEDIDOR DE AGUA, DN 3/4", VAZAO MAXIMA DE 5 M3/H, PARA AGUA POTAVEL FRIA, RELOJOARIA PLANA, CLASSE B, HORIZONTAL (SEM CONEXOES)0,</t>
  </si>
  <si>
    <t>3.12.3</t>
  </si>
  <si>
    <t>ABRIGO PARA BOMBA,NAS DIMENSOES DE (1,20X0,60X0,80)M,EM ALVENARIA DE TIJOLOS FURADOS DE (10X20X20)CM,PAREDES DE MEIA VEZ,RESTIDAS COM ARGAMASSA DE CIMENTO E SAIBRO,NO TRACO 1:6,COMFUNDO DE CONCRETO E TAMPA DE CONCRETO ARMADO,PORTA DE (100X60)CM EM CHAPA DE FERRO Nº16 E CADEADO DE 30MM,CONFORME PROJETO Nº2799/EMOP</t>
  </si>
  <si>
    <t>15.001.0076-0</t>
  </si>
  <si>
    <t>3.12.2</t>
  </si>
  <si>
    <t>ABRIGO PARA HIDROMETRO DE 1/2" OU 3/4",NAS DIMENSOES DE (0,45X0,12X0,42)M,EMBUTIDO NO MURO,REVESTIDO COM ARGAMASSA DE CIMENTO E SAIBRO,NO TRACO 1:6,COM FUNDO DE CONCRETO NO TRACO 1:3 E ESPESSURA 3CM,PORTA DE (46X43)CM EM GRADE CONFECCIONADAEM FERRO CHATO DE 1/2" COM ESPESSURA DE 1/8" E CADEADO DE 30MM,CONFORME PROJETO Nº 2089/EMOP</t>
  </si>
  <si>
    <t>15.001.0069-0</t>
  </si>
  <si>
    <t>3.12.1</t>
  </si>
  <si>
    <t>APÓS A CONCLUSÃO DA INSTALAÇÃO DE ENTRADA DE ÁGUA, COM LIGAÇÃO APROVADA PELA CONCESSIONÁRIA</t>
  </si>
  <si>
    <t>INSTALAÇÃO DE ENTRADA DE ÁGUA</t>
  </si>
  <si>
    <t>EVENTO 27</t>
  </si>
  <si>
    <t xml:space="preserve">TOTEM DE ACM, CONFORME PROJETO, INCLUINDO ESTRUTURA INTERNA DE SUPORTE E FIXAÇÃO EM BASE DE CONCRETO </t>
  </si>
  <si>
    <t>COMP. 11</t>
  </si>
  <si>
    <t>3.11.29</t>
  </si>
  <si>
    <t>APÓS INSTALAÇÃO DO TOTEM DA ÁREA EXTERNA</t>
  </si>
  <si>
    <t>TOTEM</t>
  </si>
  <si>
    <t>EVENTO 26</t>
  </si>
  <si>
    <t>PERSIANA VERTICAL EM PVC,LAMINA COM LARGURA DE 89MM.FORNECIMENTO E COLOCACAO</t>
  </si>
  <si>
    <t>14.001.0300-0</t>
  </si>
  <si>
    <t>3.11.25</t>
  </si>
  <si>
    <t xml:space="preserve">PAINEL DE MDF E=18MM, COR CARVALHO NATURAL, FIXADO EM PAREDE COM PARAFUSO </t>
  </si>
  <si>
    <t>COMP. 10</t>
  </si>
  <si>
    <t>3.11.28</t>
  </si>
  <si>
    <t>RODAMEIO EM MADEIRA, MDF, COR IMBUIA, ALTURA 20CM, FIXADO COM COLA E PARAFUSOS</t>
  </si>
  <si>
    <t>COMP. 8</t>
  </si>
  <si>
    <t>3.11.24</t>
  </si>
  <si>
    <t>APÓS A INSTALAÇÃO E APROVAÇÃO DOS PAINÉS DE MDF, RODAMEIO E PERSIANAS</t>
  </si>
  <si>
    <t>MARCENARIA INTERNA</t>
  </si>
  <si>
    <t>EVENTO 25</t>
  </si>
  <si>
    <t>PORTA DE ABRIR COM MOLA HIDRÁULICA, EM VIDRO TEMPERADO, 90X210 CM, ESPESSURA 10 MM, INCLUSIVE ACESSÓRIOS. AF_01/2021</t>
  </si>
  <si>
    <t>3.11.21</t>
  </si>
  <si>
    <t>PORTA DE ALUMINIO ANODIZADO PRETO, DE CORRER UMA FOLHA, 1,20X2,10M, AUTOMÁTICA, EM PERFIS SERIE 30,C/CONTRAMARCO, ACABAMENTO PRETO, FECHAMENTO EM VIDRO LAMINADO, INCLUINDO SENSORES, FORNECIMENTO E COLOCACAO</t>
  </si>
  <si>
    <t>COMP. 7</t>
  </si>
  <si>
    <t>3.11.20</t>
  </si>
  <si>
    <t>PUXADOR TUBULAR,EM ZAMAK CROMADO.FORNECIMENTO</t>
  </si>
  <si>
    <t>14.007.0320-0</t>
  </si>
  <si>
    <t>3.11.19</t>
  </si>
  <si>
    <t>APÓS A INSTALAÇÃO E APROVAÇÃO DOS ITENS: PORTAS DE ALUMINIO DE ENTRADA E PORTA DE VIDRO INTERNA, SENSOR DE PRESENÇA TESTADO E FUNCIONANDO</t>
  </si>
  <si>
    <t>PORTAS DE VIDRO</t>
  </si>
  <si>
    <t>EVENTO 24</t>
  </si>
  <si>
    <t>PINTURA ELETROSTATICA SOBRE ESQUADRIA DE ALUMINIO</t>
  </si>
  <si>
    <t>17.014.0015-0</t>
  </si>
  <si>
    <t>3.15.10</t>
  </si>
  <si>
    <t>PELICULA REFLETIVA DE CONTROLE SOLAR.FORNECIMENTO E COLOCACAO</t>
  </si>
  <si>
    <t>14.004.0205-0</t>
  </si>
  <si>
    <t>3.11.18</t>
  </si>
  <si>
    <t>CAIXILHO FIXO DE ALUMINIO ANODIZADO AO NATURAL,SERIE 28,PARAVIDRO.FORNECIMENTO E COLOCACAO</t>
  </si>
  <si>
    <t>14.003.0163-0</t>
  </si>
  <si>
    <t>3.11.17</t>
  </si>
  <si>
    <t>FERRAGENS PARA PAINEIS FIXOS DE VIDRO TEMPERADO DE 10MM(CONJUNTO COMPLETO),CONSTANDO DE FORNECIMENTO SEM COLOCACAO(ESTAINCLUIDA NO FORNECIMENTO E COLOCACAO DO VIDRO)</t>
  </si>
  <si>
    <t>14.007.0195-0</t>
  </si>
  <si>
    <t>3.11.16</t>
  </si>
  <si>
    <t>VIDRO LAMINADO,COM ESPESSURA DE 10MM.FORNECIMENTO E COLOCACAO</t>
  </si>
  <si>
    <t>14.004.0073-0</t>
  </si>
  <si>
    <t>3.11.15</t>
  </si>
  <si>
    <t>VIDRO TEMPERADO INCOLOR,10MM DE ESPESSURA,PARA PORTAS OU PAINEIS FIXOS,EXCLUSIVE FERRAGENS.FORNECIMENTO E COLOCACAO</t>
  </si>
  <si>
    <t>14.004.0120-0</t>
  </si>
  <si>
    <t>3.11.14</t>
  </si>
  <si>
    <t>APÓS A INSTALAÇÃO E APROVAÇÃO DOS ITENS: PELE DE VIDRO E FECHAMENTO DE ALUMÍNIO INTERNO, VISORES</t>
  </si>
  <si>
    <t>VIDRAÇARIA</t>
  </si>
  <si>
    <t>EVENTO 23</t>
  </si>
  <si>
    <t xml:space="preserve">BISCICLETÁRIO EM AÇO INOX, FIXADO EM PISO INTERTRAVADO,ALT. 82CM E LARG. 45CM FORNECIMENTO E INSTALAÇÃO </t>
  </si>
  <si>
    <t>COMP. 9</t>
  </si>
  <si>
    <t>3.11.27</t>
  </si>
  <si>
    <t>ESCADA DE MARINHEIRO,COM LARGURA DE 0,40M,EXECUTADA EM BARRAS DE FERRO DE 1.1/2"X1/4",SENDO OS DEGRAUS EM FERRO REDONDODE 5/8",ESPACADOS DE 30CM.FORNECIMENTO E COLOCACAO</t>
  </si>
  <si>
    <t>14.002.0250-0</t>
  </si>
  <si>
    <t>3.11.26</t>
  </si>
  <si>
    <t>FECHADURA DE SOBREPOR PARA PORTAO, EM ACO INOX COM ACABAMENTO CROMADO, CAIXA DE 100 MM, INCLUINDO CHAVE TIPO CILINDRO</t>
  </si>
  <si>
    <t>3.11.23</t>
  </si>
  <si>
    <t>GRADIL EM FERRO FIXADO EM VÃOS DE JANELAS, FORMADO POR BARRAS CHATAS DE 25X4,8 MM. AF_04/2019</t>
  </si>
  <si>
    <t>3.11.13</t>
  </si>
  <si>
    <t>CORRIMAO DUPLO EM TUBO DE ACO INOX COM DIAMETRO DE 1.1/2",BARRA SUPERIOR COM ALTURA DE 92CM E BARRA INFERIOR COM ALTURADE 70CM,FIXADO EM MONTANTES DE ACO INOX COM DIAMETRO DE 1.1/2",CONFORME ABNT NBR 9050 PARA ACESSIBILIDADE.FORNECIMENTO ECOLOCACAO</t>
  </si>
  <si>
    <t>18.016.0205-0</t>
  </si>
  <si>
    <t>3.11.12</t>
  </si>
  <si>
    <t>PORTA DE FERRO, DE ABRIR, TIPO GRADE COM CHAPA, COM GUARNIÇÕES. AF_12/2019</t>
  </si>
  <si>
    <t>3.11.11</t>
  </si>
  <si>
    <t>APÓS A INSTALAÇÃO E APROVAÇÃO DOS ITENS QUE COMPÕEM A ETAPA</t>
  </si>
  <si>
    <t>FERRAGENS EXTERNAS</t>
  </si>
  <si>
    <t>EVENTO 22</t>
  </si>
  <si>
    <t>CONTRAMARCO DE ALUMÍNIO, FIXAÇÃO COM PARAFUSO - FORNECIMENTO E INSTALAÇÃO. AF_12/2019</t>
  </si>
  <si>
    <t>3.11.10</t>
  </si>
  <si>
    <t>JANELA DE ALUMINIO ANODIZADO AO NATURAL,TIPO MAXIM-AR,COM 1PAINEL DESLIZANTE PROJETANTE,PROVIDA DE HASTE DE COMANDO,EMPERFIS SERIE 28.FORNECIMENTO E COLOCACAO</t>
  </si>
  <si>
    <t>14.003.0148-0</t>
  </si>
  <si>
    <t>3.11.9</t>
  </si>
  <si>
    <t>JANELA DE ALUMÍNIO DE CORRER COM 2 FOLHAS PARA VIDROS, COM VIDROS, BATENTE, ACABAMENTO COM ACETATO OU BRILHANTE E FERRAGENS. EXCLUSIVE ALIZAR E CONTRAMARCO. FORNECIMENTO E INSTALAÇÃO. AF_12/2019</t>
  </si>
  <si>
    <t>3.11.8</t>
  </si>
  <si>
    <t>JANELA DE ALUMÍNIO DE CORRER COM 4 FOLHAS PARA VIDROS, COM VIDROS, BATENTE, ACABAMENTO COM ACETATO OU BRILHANTE E FERRAGENS. EXCLUSIVE ALIZAR E CONTRAMARCO. FORNECIMENTO E INSTALAÇÃO. AF_12/2019</t>
  </si>
  <si>
    <t>3.11.7</t>
  </si>
  <si>
    <t>PEITORIL EM GRANITO, COM DOIS NÍVEIS, L = 20CM E L=8CM, ASSENTADO COM ARGAMASSA 1:6 COM ADITIVO</t>
  </si>
  <si>
    <t>COMP. 6</t>
  </si>
  <si>
    <t>3.10.14</t>
  </si>
  <si>
    <t>APÓS A INSTALAÇÃO E APROVAÇÃO DAS JANELAS EXTERNAS DE ALUMÍNIO</t>
  </si>
  <si>
    <t>INSTALAÇÃO DE JANELAS DE ALUMÍNIO</t>
  </si>
  <si>
    <t>EVENTO 21</t>
  </si>
  <si>
    <t>FECHADURA DE EMBUTIR PARA PORTA DE BANHEIRO, COMPLETA, ACABAMENTO PADRÃO MÉDIO, INCLUSO EXECUÇÃO DE FURO - FORNECIMENTO E INSTALAÇÃO. AF_12/2019</t>
  </si>
  <si>
    <t>3.11.5</t>
  </si>
  <si>
    <t>FECHADURA DE EMBUTIR COM CILINDRO, EXTERNA, COMPLETA, ACABAMENTO PADRÃO MÉDIO, INCLUSO EXECUÇÃO DE FURO - FORNECIMENTO E INSTALAÇÃO. AF_12/2019</t>
  </si>
  <si>
    <t>3.11.4</t>
  </si>
  <si>
    <t>KIT DE PORTA-PRONTA DE MADEIRA EM ACABAMENTO MELAMÍNICO BRANCO, FOLHA PESADA OU SUPERPESADA, 90X210CM, FIXAÇÃO COM PREENCHIMENTO TOTAL DE ESPUMA EXPANSIVA - FORNECIMENTO E INSTALAÇÃO. AF_12/2019</t>
  </si>
  <si>
    <t>3.11.3</t>
  </si>
  <si>
    <t>KIT DE PORTA-PRONTA DE MADEIRA EM ACABAMENTO MELAMÍNICO BRANCO, FOLHA LEVE OU MÉDIA, 80X210CM, EXCLUSIVE FECHADURA, FIXAÇÃO COM PREENCHIMENTO PARCIAL DE ESPUMA EXPANSIVA - FORNECIMENTO E INSTALAÇÃO. AF_12/2019</t>
  </si>
  <si>
    <t>3.11.2</t>
  </si>
  <si>
    <t>KIT DE PORTA-PRONTA DE MADEIRA EM ACABAMENTO MELAMÍNICO BRANCO, FOLHA LEVE OU MÉDIA, 70X210CM, EXCLUSIVE FECHADURA, FIXAÇÃO COM PREENCHIMENTO PARCIAL DE ESPUMA EXPANSIVA - FORNECIMENTO E INSTALAÇÃO. AF_12/2019</t>
  </si>
  <si>
    <t>3.11.1</t>
  </si>
  <si>
    <t xml:space="preserve">APÓS A INSTALAÇÃO E APROVAÇÃO  DAS PORTAS INTERNAS </t>
  </si>
  <si>
    <t>INSTALAÇÃO DE PORTAS</t>
  </si>
  <si>
    <t>EVENTO 20</t>
  </si>
  <si>
    <t>CHAPIM SOBRE MUROS LINEARES, EM GRANITO OU MÁRMORE, L = 25 CM, ASSENTADO COM ARGAMASSA 1:6 COM ADITIVO. AF_11/2020</t>
  </si>
  <si>
    <t>3.10.18</t>
  </si>
  <si>
    <t>PISO TATIL DE ALERTA OU DIRECIONAL DE BORRACHA, PRETO, 25 X 25 CM, E = 5 MM, PARA COLA</t>
  </si>
  <si>
    <t>3.10.17</t>
  </si>
  <si>
    <t>PISO PODOTÁTIL DE ALERTA OU DIRECIONAL, DE CONCRETO, ASSENTADO SOBRE ARGAMASSA. AF_05/2023</t>
  </si>
  <si>
    <t>3.10.16</t>
  </si>
  <si>
    <t>APÓS A INSTALAÇÃO DOS PISOS DE ALERTA NAS ÁREAS INTERNAS E EXTERNAS E CHAPIM NA COBERTURA</t>
  </si>
  <si>
    <t>PISO ALERTA E CHAPIM</t>
  </si>
  <si>
    <t>EVENTO 19</t>
  </si>
  <si>
    <t>LETRA CAIXA DE ACO INOX POLIDO OU ESCOVADO,COM 20CM DE ALTURA,ESPESSURA DE 2CM,COM PINOS PARA FIXACAO.FORNECIMENTO E COLOCACAO</t>
  </si>
  <si>
    <t>05.055.0010-0</t>
  </si>
  <si>
    <t>3.5.7</t>
  </si>
  <si>
    <t>RODAPÉ CERÂMICO DE 10CM DE ALTURA COM PLACAS TIPO PORCELANATO, COMPRIMENTO 60CM</t>
  </si>
  <si>
    <t>COMP. 5</t>
  </si>
  <si>
    <t>3.10.12</t>
  </si>
  <si>
    <t xml:space="preserve">M2    </t>
  </si>
  <si>
    <t>REVESTIMENTO PORCELANATO, PARA PAREDES EXTERNAS DE FACHADA, PLACAS DE 60 X 120 CM, ALINHADAS A PRUMO</t>
  </si>
  <si>
    <t>COMP. 4</t>
  </si>
  <si>
    <t>3.10.11</t>
  </si>
  <si>
    <t>REVESTIMENTO DE FACHADA EXTERNA, COM PEDRA DO PEDRA GRANITO BRANCO CEARÁ, ACABAMENTO LEVIGADO, FIXADO COM INSERTES EM AÇO ÍNOX</t>
  </si>
  <si>
    <t>COMP. 3</t>
  </si>
  <si>
    <t>3.10.10</t>
  </si>
  <si>
    <t>REVESTIMENTO DE FACHADA OU AREAS INT.C/PAINEL ALUM.COMPOSTO,SENDO DUAS LAMINAS ALUM.C/0,3MM ESP.,PINTURA PVDF (FLUOR CARBONO) KYNNAR 500,NO SISTEMA COIL COATING,ESP.DO COMPOSTO DE4MM,PINTURA PROTEGIDA POR FILME HAVY DUTY NAS FACES PINTADAS,NUCLEO EM POLIETILENO DE BAIXA DENSIDADE (RIGIDO),INCL.SUBESTRUTURA DE ALUM.E DEMAIS INSUMOS NECES.A COLOC.FORN.COLOC.</t>
  </si>
  <si>
    <t>13.168.0010-0</t>
  </si>
  <si>
    <t>3.10.5</t>
  </si>
  <si>
    <t>APÓS A EXECUÇÃO E APROVAÇÃO DE TODO REVESTIMENTO E ACABAMENTO DA FACHADA</t>
  </si>
  <si>
    <t>REVESTIMENTO E ACABAMENTO DA FACHADA</t>
  </si>
  <si>
    <t>EVENTO 18</t>
  </si>
  <si>
    <t>FORRO DE FIBRA MINERAL EM PLACAS DE 1250 X 625 MM, E = 15 MM, BORDA RETA, COM PINTURA ANTIMOFO, APOIADO EM PERFIL DE ACO GALVANIZADO COM 24 MM DE BASE - INSTALADO</t>
  </si>
  <si>
    <t>3.10.6</t>
  </si>
  <si>
    <t xml:space="preserve">APÓS A CONCLUSÃO E APROVAÇÃO DA INSTALAÇÃO DO FORRO </t>
  </si>
  <si>
    <t>FORRO MINERAL</t>
  </si>
  <si>
    <t>EVENTO 17</t>
  </si>
  <si>
    <t>SOLEIRA EM GRANITO, LARGURA 15 CM, ESPESSURA 2,0 CM. AF_09/2020</t>
  </si>
  <si>
    <t>3.10.15</t>
  </si>
  <si>
    <t>REVESTIMENTO CERÂMICO PARA PISO COM PLACAS TIPO PORCELANATO DE DIMENSÕES 60X60 CM APLICADA EM AMBIENTES DE ÁREA MAIOR QUE 10 M². AF_02/2023_PE</t>
  </si>
  <si>
    <t>3.10.9</t>
  </si>
  <si>
    <t>CONTRAPISO EM ARGAMASSA TRAÇO 1:4 (CIMENTO E AREIA), PREPARO MECÂNICO COM BETONEIRA 400 L, APLICADO EM ÁREAS MOLHADAS SOBRE LAJE, ADERIDO, ACABAMENTO NÃO REFORÇADO, ESPESSURA 3CM. AF_07/2021</t>
  </si>
  <si>
    <t>3.10.8</t>
  </si>
  <si>
    <t>CONTRAPISO EM ARGAMASSA TRAÇO 1:4 (CIMENTO E AREIA), PREPARO MECÂNICO COM BETONEIRA 400 L, APLICADO EM ÁREAS SECAS SOBRE LAJE, ADERIDO, ACABAMENTO NÃO REFORÇADO, ESPESSURA 3CM. AF_07/2021</t>
  </si>
  <si>
    <t>3.10.7</t>
  </si>
  <si>
    <t>REVESTIMENTO CERÂMICO PARA PAREDES INTERNAS COM PLACAS TIPO ESMALTADA EXTRA  DE DIMENSÕES 33X45 CM APLICADAS NA ALTURA INTEIRA DAS PAREDES. AF_02/2023_PE</t>
  </si>
  <si>
    <t>3.10.4</t>
  </si>
  <si>
    <t>APÓS A CONCLUSÃO DE INSTALAÇÃO DE TODOS OS REVESTIMENTOS DE PAREDE E PISO NA ÁREA INTERNA, INCLUINDO SOLEIRAS DE PORTAS</t>
  </si>
  <si>
    <t>REVESTIMENTO INTERNO DE PAREDE E REVESTIMENTO DE PISO</t>
  </si>
  <si>
    <t>EVENTO 16</t>
  </si>
  <si>
    <t>EMBOÇO, PARA RECEBIMENTO DE CERÂMICA, EM ARGAMASSA TRAÇO 1:2:8, PREPARO MECÂNICO COM BETONEIRA 400L, APLICADO MANUALMENTE EM FACES INTERNAS DE PAREDES, PARA AMBIENTE COM ÁREA  MAIOR QUE 10M2, ESPESSURA DE 20MM, COM EXECUÇÃO DE TALISCAS. AF_06/2014</t>
  </si>
  <si>
    <t>3.10.3</t>
  </si>
  <si>
    <t>EMBOÇO OU MASSA ÚNICA EM ARGAMASSA TRAÇO 1:2:8, PREPARO MECÂNICA COM BETONEIRA 400 L, APLICADA MANUALMENTE EM PANOS DE FACHADA COM PRESENÇA DE VÃOS, ESPESSURA DE 25 MM, ACESSO POR ANDAIME. AF_08/2022</t>
  </si>
  <si>
    <t>3.10.2</t>
  </si>
  <si>
    <t>CHAPISCO APLICADO EM ALVENARIA (COM PRESENÇA DE VÃOS) E ESTRUTURAS DE CONCRETO DE FACHADA, COM COLHER DE PEDREIRO.  ARGAMASSA TRAÇO 1:3 COM PREPARO EM BETONEIRA 400L. AF_10/2022</t>
  </si>
  <si>
    <t>3.10.1</t>
  </si>
  <si>
    <t>APÓS A CONCLUSÃO E APROVAÇÃO DE REVESTIMENTO DE EMBOÇO E CHAPISCO EM TODAS AS ÁREAS PREVISTAS</t>
  </si>
  <si>
    <t>REVESTIMENTO DE CHAPISCO E EMBOÇO</t>
  </si>
  <si>
    <t>EVENTO 15</t>
  </si>
  <si>
    <t>INSTALAÇÃO DE ISOLAMENTO COM LÃ DE ROCHA EM PAREDE DRYWALL</t>
  </si>
  <si>
    <t>COMP. 2</t>
  </si>
  <si>
    <t>3.9.6</t>
  </si>
  <si>
    <t>PAREDE COM SISTEMA EM CHAPAS DE GESSO PARA DRYWALL, RESISTENTE À UMIDADE, COM DUAS FACES SIMPLES E ESTRUTURA METÁLICA COM GUIAS SIMPLES, SEM VÃOS</t>
  </si>
  <si>
    <t>COMP. 1</t>
  </si>
  <si>
    <t>3.9.5</t>
  </si>
  <si>
    <t>PAREDE COM SISTEMA EM CHAPAS DE GESSO PARA DRYWALL, USO INTERNO, COM DUAS FACES SIMPLES E ESTRUTURA METÁLICA COM GUIAS SIMPLES, SEM VÃOS. AF_07/2023_PS</t>
  </si>
  <si>
    <t>3.9.4</t>
  </si>
  <si>
    <t>APÓS A EXECUÇÃO DE TODOS OS FECHAMENTOS EM DRYWALL, INCLUINDO MANTA ACUSTICA</t>
  </si>
  <si>
    <t>FECHAMENTO DIVISÓRIAS EM DRYWALL</t>
  </si>
  <si>
    <t>EVENTO 14</t>
  </si>
  <si>
    <t>ALVENARIA DE VEDAÇÃO DE BLOCOS VAZADOS DE CONCRETO DE 14X19X39 CM (ESPESSURA 14 CM)  E ARGAMASSA DE ASSENTAMENTO COM PREPARO EM BETONEIRA. AF_12/2021</t>
  </si>
  <si>
    <t>3.9.3</t>
  </si>
  <si>
    <t>ALVENARIA DE VEDAÇÃO DE BLOCOS CERÂMICOS FURADOS NA VERTICAL DE 9X19X39 CM (ESPESSURA 9 CM) E ARGAMASSA DE ASSENTAMENTO COM PREPARO EM BETONEIRA. AF_12/2021</t>
  </si>
  <si>
    <t>3.9.2</t>
  </si>
  <si>
    <t>CHAPIM DE CONCRETO ARMADO,APARENTE,COM ACABAMENTO DESEMPENADO,MEDINDO (22X10)CM,CONFORME PROJETO TIPO Nº 6062/EMOP,FUNDIDO NO LOCAL</t>
  </si>
  <si>
    <t>11.013.0006-0</t>
  </si>
  <si>
    <t>3.8.25</t>
  </si>
  <si>
    <t>FIXAÇÃO (ENCUNHAMENTO) DE ALVENARIA DE VEDAÇÃO COM ESPUMA DE POLIURETANO EXPANSIVA. AF_03/2016</t>
  </si>
  <si>
    <t>3.9.1</t>
  </si>
  <si>
    <t>VERGA PRÉ-MOLDADA PARA PORTAS COM ATÉ 1,5 M DE VÃO. AF_03/2016</t>
  </si>
  <si>
    <t>3.8.24</t>
  </si>
  <si>
    <t>CONTRAVERGA MOLDADA IN LOCO EM CONCRETO PARA VÃOS DE MAIS DE 1,5 M DE COMPRIMENTO. AF_03/2016</t>
  </si>
  <si>
    <t>3.8.23</t>
  </si>
  <si>
    <t>VERGA MOLDADA IN LOCO EM CONCRETO PARA JANELAS COM MAIS DE 1,5 M DE VÃO. AF_03/2016</t>
  </si>
  <si>
    <t>3.8.22</t>
  </si>
  <si>
    <t>APÓS A CONCLUSÃO DE TODOS OS FECHAMENTOS EM ALVENARIA DE BLOCOS CERÂMICOS E DE CONCRETO, INCLUINDO VERGAS E ENCUNHAMENTO</t>
  </si>
  <si>
    <t>FECHAMENTOS EM ALVENARIA E CONCLUSÃO DO MURO DE DIVISA</t>
  </si>
  <si>
    <t>EVENTO 13</t>
  </si>
  <si>
    <t>M3</t>
  </si>
  <si>
    <t>CONTROLE TECNOLOGICO DE OBRAS EM CONCRETO ARMADO CONSIDERANDO APENAS O CONTROLE DO CONCRETO E CONSTANDO DE COLETA,MOLDAGEM E CAPEAMENTO DE CORPOS DE PROVA,TRANSPORTE ATE 100KM,ENSAIOS DE RESISTENCIA A COMPRESSAO AOS 3, 7 E 28 DIAS E "SLUMPTEST",MEDIDO POR M3 DE CONCRETO COLOCADO NAS FORMAS</t>
  </si>
  <si>
    <t>01.001.0151-0</t>
  </si>
  <si>
    <t>3.1.2</t>
  </si>
  <si>
    <t>IMPERMEABILIZAÇÃO DE SUPERFÍCIE COM EMULSÃO ASFÁLTICA, 2 DEMÃOS. AF_09/2023</t>
  </si>
  <si>
    <t>3.14.6</t>
  </si>
  <si>
    <t>ADITIVO EM PO HIDROFUGANTE E IMPERMEABILIZANTE,DESENVOLVIDOCOM NANOTECNOLOGIA,PARA ADICAO EM CONCRETOS E ARGAMASSAS</t>
  </si>
  <si>
    <t>11.015.0010-0</t>
  </si>
  <si>
    <t>3.8.28</t>
  </si>
  <si>
    <t>ESCADA EM CONCRETO ARMADO MOLDADO IN LOCO, FCK 25 MPA, COM 1 LANCE E LAJE PLANA, FÔRMA EM CHAPA DE MADEIRA COMPENSADA RESINADA. AF_11/2020_PA</t>
  </si>
  <si>
    <t>3.8.27</t>
  </si>
  <si>
    <t>EXECUÇÃO DE LAJE SOBRE SOLO, ESPESSURA DE 10 CM, FCK = 30 MPA, COM USO DE FORMAS EM MADEIRA SERRADA. AF_09/2021</t>
  </si>
  <si>
    <t>3.8.26</t>
  </si>
  <si>
    <t>CONCRETAGEM DE RESERVATÓRIOS, FCK=25 MPA, COM USO DE BOMBA - LANÇAMENTO, ADENSAMENTO E ACABAMENTO. AF_02/2022_PS</t>
  </si>
  <si>
    <t>3.8.20</t>
  </si>
  <si>
    <t>CONCRETAGEM DE VIGAS E LAJES, FCK=25 MPA, PARA LAJES MACIÇAS OU NERVURADAS COM USO DE BOMBA - LANÇAMENTO, ADENSAMENTO E ACABAMENTO. AF_02/2022_PS</t>
  </si>
  <si>
    <t>3.8.19</t>
  </si>
  <si>
    <t>ARMAÇÃO DE LAJE DE ESTRUTURA CONVENCIONAL DE CONCRETO ARMADO UTILIZANDO AÇO CA-50 DE 12,5 MM - MONTAGEM. AF_06/2022</t>
  </si>
  <si>
    <t>3.8.16</t>
  </si>
  <si>
    <t>ARMAÇÃO DE LAJE DE ESTRUTURA CONVENCIONAL DE CONCRETO ARMADO UTILIZANDO AÇO CA-50 DE 10,0 MM - MONTAGEM. AF_06/2022</t>
  </si>
  <si>
    <t>3.8.15</t>
  </si>
  <si>
    <t>ARMAÇÃO DE LAJE DE ESTRUTURA CONVENCIONAL DE CONCRETO ARMADO UTILIZANDO AÇO CA-50 DE 8,0 MM - MONTAGEM. AF_06/2022</t>
  </si>
  <si>
    <t>3.8.14</t>
  </si>
  <si>
    <t>ARMAÇÃO DE LAJE DE ESTRUTURA CONVENCIONAL DE CONCRETO ARMADO UTILIZANDO AÇO CA-60 DE 5,0 MM - MONTAGEM. AF_06/2022</t>
  </si>
  <si>
    <t>3.8.13</t>
  </si>
  <si>
    <t>ESCORAMENTO DE FÔRMAS DE LAJE EM MADEIRA NÃO APARELHADA, PÉ-DIREITO SIMPLES, INCLUSO TRAVAMENTO, 4 UTILIZAÇÕES. AF_09/2020</t>
  </si>
  <si>
    <t>3.8.7</t>
  </si>
  <si>
    <t>MONTAGEM E DESMONTAGEM DE FÔRMA DE LAJE MACIÇA, PÉ-DIREITO SIMPLES, EM CHAPA DE MADEIRA COMPENSADA RESINADA, 2 UTILIZAÇÕES. AF_09/2020</t>
  </si>
  <si>
    <t>3.8.6</t>
  </si>
  <si>
    <t>CONCRETO MAGRO PARA LASTRO, TRAÇO 1:4,5:4,5 (EM MASSA SECA DE CIMENTO/ AREIA MÉDIA/ SEIXO ROLADO) - PREPARO MECÂNICO COM BETONEIRA 400 L. AF_05/2021</t>
  </si>
  <si>
    <t>3.8.1</t>
  </si>
  <si>
    <t>EXECUÇÃO E APROVAÇÃO DA CONCRETAGEM DAS LAJES E RESERVATÓRIO INFERIOR, ASSIM COMO TODOS OS SERVIÇOS RELACIONADOS À ESTRUTURA DA EDIFICAÇÃO E MUROS</t>
  </si>
  <si>
    <t>LAJES E RESERVATÓRIO E DEMAIS SERVIÇOS DE CONCRETAGEM</t>
  </si>
  <si>
    <t>EVENTO 12</t>
  </si>
  <si>
    <t>CONCRETAGEM DE PILARES, FCK = 25 MPA, COM USO DE BOMBA - LANÇAMENTO, ADENSAMENTO E ACABAMENTO. AF_02/2022_PS</t>
  </si>
  <si>
    <t>3.8.18</t>
  </si>
  <si>
    <t>ARMAÇÃO DE PILAR OU VIGA DE ESTRUTURA CONVENCIONAL DE CONCRETO ARMADO UTILIZANDO AÇO CA-50 DE 12,5 MM - MONTAGEM. AF_06/2022</t>
  </si>
  <si>
    <t>3.8.12</t>
  </si>
  <si>
    <t>ARMAÇÃO DE PILAR OU VIGA DE ESTRUTURA CONVENCIONAL DE CONCRETO ARMADO UTILIZANDO AÇO CA-50 DE 10,0 MM - MONTAGEM. AF_06/2022</t>
  </si>
  <si>
    <t>3.8.11</t>
  </si>
  <si>
    <t>ARMAÇÃO DE PILAR OU VIGA DE ESTRUTURA CONVENCIONAL DE CONCRETO ARMADO UTILIZANDO AÇO CA-50 DE 8,0 MM - MONTAGEM. AF_06/2022</t>
  </si>
  <si>
    <t>3.8.10</t>
  </si>
  <si>
    <t>ARMAÇÃO DE PILAR OU VIGA DE ESTRUTURA CONVENCIONAL DE CONCRETO ARMADO UTILIZANDO AÇO CA-50 DE 6,3 MM - MONTAGEM. AF_06/2022</t>
  </si>
  <si>
    <t>3.8.9</t>
  </si>
  <si>
    <t>ARMAÇÃO DE PILAR OU VIGA DE ESTRUTURA CONVENCIONAL DE CONCRETO ARMADO UTILIZANDO AÇO CA-60 DE 5,0 MM - MONTAGEM. AF_06/2022</t>
  </si>
  <si>
    <t>3.8.8</t>
  </si>
  <si>
    <t>MONTAGEM E DESMONTAGEM DE FÔRMA DE VIGA, ESCORAMENTO COM GARFO DE MADEIRA, PÉ-DIREITO SIMPLES, EM CHAPA DE MADEIRA RESINADA, 4 UTILIZAÇÕES. AF_09/2020</t>
  </si>
  <si>
    <t>3.8.5</t>
  </si>
  <si>
    <t>MONTAGEM E DESMONTAGEM DE FÔRMA DE PILARES RETANGULARES E ESTRUTURAS SIMILARES, PÉ-DIREITO SIMPLES, EM CHAPA DE MADEIRA COMPENSADA RESINADA, 4 UTILIZAÇÕES. AF_09/2020</t>
  </si>
  <si>
    <t>3.8.4</t>
  </si>
  <si>
    <t>FABRICAÇÃO, MONTAGEM E DESMONTAGEM DE FÔRMA PARA VIGA BALDRAME, EM MADEIRA SERRADA, E=25 MM, 4 UTILIZAÇÕES. AF_01/2024</t>
  </si>
  <si>
    <t>3.8.3</t>
  </si>
  <si>
    <t>APÓS A EXECUÇÃO E APROVAÇÃO DA CONCRETAGEM DE VIGAS E PILARES (PODENDO SER MEDIDO ATÉ A EXECUÇÃO DE ARMAÇÃO E FORMAS DE VIGAS)</t>
  </si>
  <si>
    <t>VIGAS E PILARES</t>
  </si>
  <si>
    <t>EVENTO 11</t>
  </si>
  <si>
    <t>CONCRETAGEM DE BLOCO DE COROAMENTO OU VIGA BALDRAME, FCK 30 MPA, COM USO DE BOMBA - LANÇAMENTO, ADENSAMENTO E ACABAMENTO. AF_01/2024</t>
  </si>
  <si>
    <t>3.8.21</t>
  </si>
  <si>
    <t>ARMAÇÃO DE BLOCO UTILIZANDO AÇO CA-50 DE 8 MM - MONTAGEM. AF_01/2024</t>
  </si>
  <si>
    <t>3.8.17</t>
  </si>
  <si>
    <t>FABRICAÇÃO, MONTAGEM E DESMONTAGEM DE FÔRMA PARA BLOCO DE COROAMENTO, EM CHAPA DE MADEIRA COMPENSADA RESINADA, E=17 MM, 4 UTILIZAÇÕES. AF_01/2024</t>
  </si>
  <si>
    <t>3.8.2</t>
  </si>
  <si>
    <t>ESTACA BROCA DE CONCRETO, DIÂMETRO DE 20CM, ESCAVAÇÃO MANUAL COM TRADO CONCHA, COM ARMADURA DE ARRANQUE. AF_05/2020</t>
  </si>
  <si>
    <t>3.7.6</t>
  </si>
  <si>
    <t>APÓS A EXECUÇÃO E APROVAÇÃO DOS BLOCOS DE COROAMENTO DA EDIFICAÇÃO E FUNDAÇÃO DOS MUROS DE DIVISA</t>
  </si>
  <si>
    <t>BLOCOS DE COROAMENTO (EDIFICAÇÃO E MUROS DIVISA)</t>
  </si>
  <si>
    <t>EVENTO 10</t>
  </si>
  <si>
    <t>ARRASAMENTO DE ESTACA RAIZ DE 8" A 10" DE DIAMETRO</t>
  </si>
  <si>
    <t>10.012.0155-0</t>
  </si>
  <si>
    <t>3.7.5</t>
  </si>
  <si>
    <t>ESTACA RAIZ COM DIAMETRO DE 8" PARA CARGA DE 50T,INJECAO DEARGAMASSA DE CIMENTO E AREIA,COM RESISTENCIA DE 20MPA,CONFORME ABNT NBR 6122,INCLUSIVE O FORNECIMENTO DOS MATERIAIS (CIMENTO,AREIA E ACO),EXCLUSIVE PERFURACAO</t>
  </si>
  <si>
    <t>10.003.0030-0</t>
  </si>
  <si>
    <t>3.7.4</t>
  </si>
  <si>
    <t>MOBILIZACAO E DESMOBILIZACAO DE EQUIPAMENTO E EQUIPE DE SONDAGEM E PERFURACAO A PERCUSSAO,COM TRANSPORTE ATE 50KM</t>
  </si>
  <si>
    <t>01.008.0050-0</t>
  </si>
  <si>
    <t>3.7.3</t>
  </si>
  <si>
    <t>PERFURACAO ROTATIVA COM COROA DE WIDIA,EM ROCHA SA,DIAMETRO8",VERTICAL,INCLUSIVE DESLOCAMENTO DENTRO DO CANTEIRO E INSTALACAO DA SONDA EM CADA FURO</t>
  </si>
  <si>
    <t>01.002.0081-0</t>
  </si>
  <si>
    <t>3.7.2</t>
  </si>
  <si>
    <t>PERFURACAO ROTATIVA COM COROA DE WIDIA,EM SOLO,DIAMETRO 8",VERTICAL,INCLUSIVE DESLOCAMENTO DENTRO DO CANTEIRO E INSTALACAO DA SONDA EM CADA FURO</t>
  </si>
  <si>
    <t>01.002.0042-0</t>
  </si>
  <si>
    <t>3.7.1</t>
  </si>
  <si>
    <t>ESCAVAÇÃO MANUAL PARA BLOCO DE COROAMENTO OU SAPATA (INCLUINDO ESCAVAÇÃO PARA COLOCAÇÃO DE FÔRMAS). AF_01/2024</t>
  </si>
  <si>
    <t>3.2.1</t>
  </si>
  <si>
    <t>LOCACAO CONVENCIONAL DE OBRA, UTILIZANDO GABARITO DE TÁBUAS CORRIDAS PONTALETADAS A CADA 2,00M -  2 UTILIZAÇÕES. AF_10/2018</t>
  </si>
  <si>
    <t>3.1.3</t>
  </si>
  <si>
    <t>APÓS A EXECUÇÃO E APROVAÇÃO DE TODAS AS FUNDAÇÕES</t>
  </si>
  <si>
    <t>LOCAÇÃO DE OBRA, ESCAVAÇÃO DE BLOCOS E FUNDAÇÃO</t>
  </si>
  <si>
    <t>EVENTO 9</t>
  </si>
  <si>
    <t>PISO EM GRANITO APLICADO EM CALÇADAS OU PISOS EXTERNOS. AF_05/2020</t>
  </si>
  <si>
    <t>3.10.13</t>
  </si>
  <si>
    <t>ASSENTAMENTO DE GUIA (MEIO-FIO) EM TRECHO RETO, CONFECCIONADA EM CONCRETO PRÉ-FABRICADO, DIMENSÕES 39X6,5X6,5X19 CM (COMPRIMENTO X BASE INFERIOR X BASE SUPERIOR X ALTURA), PARA DELIMITAÇÃO DE JARDINS, PRAÇAS OU PASSEIOS. AF_01/2024</t>
  </si>
  <si>
    <t>3.6.2</t>
  </si>
  <si>
    <t>EXECUÇÃO DE PAVIMENTO EM PISO INTERTRAVADO, COM BLOCO RETANGULAR COR NATURAL DE 20 X 10 CM, ESPESSURA 8 CM. AF_10/2022</t>
  </si>
  <si>
    <t>3.6.1</t>
  </si>
  <si>
    <t>APÓS A EXECUÇÃO DE PISO INTERTRAVADO EXTERNO, INCLUSIVE CALÇADA</t>
  </si>
  <si>
    <t>PAVIMENTO EXTERNO</t>
  </si>
  <si>
    <t>EVENTO 8</t>
  </si>
  <si>
    <t>PLASTICO NA COR PRETA,DESTINADO A PROTECAO DE TELHADOS,MOVEIS E PISOS,COM 0,15MM DE ESPESSURA,REUTILIZADO 5 VEZES,INCLUSIVE RETIRADA.FORNECIMENTO E COLOCACAO</t>
  </si>
  <si>
    <t>05.058.0010-0</t>
  </si>
  <si>
    <t>3.5.8</t>
  </si>
  <si>
    <t>LIMPEZA DE REVESTIMENTO CERÂMICO EM PAREDE UTILIZANDO DETERGENTE NEUTRO E ESCOVAÇÃO MANUAL. AF_04/2019</t>
  </si>
  <si>
    <t>3.5.6</t>
  </si>
  <si>
    <t>LIMPEZA DE MÁRMORE/GRANITO EM PAREDE UTILIZANDO DETERGENTE NEUTRO E ESCOVAÇÃO MANUAL. AF_04/2019</t>
  </si>
  <si>
    <t>3.5.5</t>
  </si>
  <si>
    <t>LIMPEZA DE BACIA SANITÁRIA, BIDÊ OU MICTÓRIO EM LOUÇA, INCLUSIVE METAIS CORRESPONDENTES. AF_04/2019</t>
  </si>
  <si>
    <t>3.5.4</t>
  </si>
  <si>
    <t>LIMPEZA DE PISO CERÂMICO OU PORCELANATO COM PANO ÚMIDO. AF_04/2019</t>
  </si>
  <si>
    <t>3.5.3</t>
  </si>
  <si>
    <t>LIMPEZA DE JANELA DE VIDRO COM CAIXILHO EM AÇO/ALUMÍNIO/PVC. AF_04/2019</t>
  </si>
  <si>
    <t>3.5.2</t>
  </si>
  <si>
    <t>LIMPEZA DE PORTA DE VIDRO COM CAIXILHO EM AÇO/ ALUMÍNIO/ PVC. AF_04/2019</t>
  </si>
  <si>
    <t>3.5.1</t>
  </si>
  <si>
    <t>APÓS A CONCLUSÃO DA OBRA E LIMPEZA FINAL, RECEBIMENTO DEFINITIVO</t>
  </si>
  <si>
    <t>LIMPEZA FINAL</t>
  </si>
  <si>
    <t>EVENTO 7</t>
  </si>
  <si>
    <t>DEMOLIÇÃO DE ALVENARIA DE BLOCO FURADO, DE FORMA MANUAL, SEM REAPROVEITAMENTO. AF_09/2023</t>
  </si>
  <si>
    <t>3.4.3</t>
  </si>
  <si>
    <t>DEMOLICAO E REMOCAO DE ESTRUTURAS METALICAS TRELICADAS DE VERGALHOES E/OU PERFIS LEVES DE ACO,MEDIDAS PELO PESO REMOVIDO</t>
  </si>
  <si>
    <t>05.002.0065-0</t>
  </si>
  <si>
    <t>3.4.2</t>
  </si>
  <si>
    <t>DEMOLICAO MANUAL DE CONCRETO ARMADO COMPREENDENDO PILARES,VIGAS E LAJES,EM ESTRUTURA APRESENTANDO POSICAO ESPECIAL,INCLUSIVE EMPILHAMENTO LATERAL DENTRO DO CANTEIRO DE SERVICO</t>
  </si>
  <si>
    <t>05.001.0002-1</t>
  </si>
  <si>
    <t>3.4.1</t>
  </si>
  <si>
    <t>RETIRADA DE ENTULHO DE OBRA COM CACAMBA DE ACO TIPO CONTAINER COM 5M3 DE CAPACIDADE,INCLUSIVE CARREGAMENTO,TRANSPORTE EDESCARREGAMENTO.CUSTO POR UNIDADE DE CACAMBA E INCLUI A TAXA PARA DESCARGA EM LOCAIS AUTORIZADOS</t>
  </si>
  <si>
    <t>04.014.0095-0</t>
  </si>
  <si>
    <t>3.3.4</t>
  </si>
  <si>
    <t>TRANSPORTE HORIZONTAL DE MATERIAL DE 1ªCATEGORIA OU ENTULHO,EM CARRINHOS,A 20,00M DE DISTANCIA,INCLUSIVE CARGA A PA</t>
  </si>
  <si>
    <t>05.001.0171-0</t>
  </si>
  <si>
    <t>3.3.3</t>
  </si>
  <si>
    <t>T</t>
  </si>
  <si>
    <t>CARGA E DESCARGA MECANICA DE TUBOS DE FERRO FUNDIDO,COM O DIAMETRO DE 60 A 80CM,INCLUSIVE O TEMPO DE CARGA E DESCARGA EMANOBRA DO CAMINHAO DE CARROCERIA FIXA A OLEO DIESEL,COM CAPACIDADE UTIL DE 7,5T,INCLUSIVE OS MESMOS TEMPOS DE GUINDAUTO,DE 4T</t>
  </si>
  <si>
    <t>04.009.0023-0</t>
  </si>
  <si>
    <t>3.3.2</t>
  </si>
  <si>
    <t>T X KM</t>
  </si>
  <si>
    <t>TRANSPORTE DE CARGA DE QUALQUER NATUREZA,EXCLUSIVE AS DESPESAS DE CARGA E DESCARGA,TANTO DE ESPERA DO CAMINHAO COMO DO SERVENTE OU EQUIPAMENTO AUXILIAR,A VELOCIDADE MEDIA DE 30KM/H,EM CAMINHAO DE CARROCERIA FIXA A OLEO DIESEL,COM CAPACIDADEUTIL DE 7,5T,CONSIDERANDO O CAMINHAO EQUIPADO COM GUINDAUTODE 3,5T</t>
  </si>
  <si>
    <t>04.005.0103-0</t>
  </si>
  <si>
    <t>3.3.1</t>
  </si>
  <si>
    <t>APÓS A CONCLUSÃO DE TODAS AS DEMOLIÇÕES, INCLUINDO A REMOÇÃO DOS RESÍDUOS</t>
  </si>
  <si>
    <t>DEMOLIÇÕES</t>
  </si>
  <si>
    <t>EVENTO 6</t>
  </si>
  <si>
    <t>ATERRO MANUAL DE VALAS COM SOLO ARGILO-ARENOSO. AF_08/2023</t>
  </si>
  <si>
    <t>3.2.5</t>
  </si>
  <si>
    <t>REATERRO MANUAL DE VALAS, COM COMPACTADOR DE SOLOS DE PERCUSSÃO. AF_08/2023</t>
  </si>
  <si>
    <t>3.2.4</t>
  </si>
  <si>
    <t>PREPARO DE FUNDO DE VALA COM LARGURA MENOR QUE 1,5 M, COM CAMADA DE BRITA, LANÇAMENTO MANUAL. AF_08/2020</t>
  </si>
  <si>
    <t>3.2.3</t>
  </si>
  <si>
    <t>ESCAVAÇÃO MANUAL DE VALA COM PROFUNDIDADE MENOR OU IGUAL A 1,30 M. AF_02/2021</t>
  </si>
  <si>
    <t>3.2.2</t>
  </si>
  <si>
    <t>APÓS A EXECUÇÃO DE TODA MOVIMENTAÇÃO DE TERRA NECESSÁRIA, INCLUINDO ATERRO E AJUSTES DE DECLIVIDADES. PASSAGEM DE TUBULAÇÕES ESCAVADAS</t>
  </si>
  <si>
    <t>MOVIMENTAÇÃO DE TERRA</t>
  </si>
  <si>
    <t>EVENTO 5</t>
  </si>
  <si>
    <t>PREPARO MANUAL DE TERRENO,COMPREENDENDO ACERTO,RASPAGEM EVENTUALMENTE ATE 0.30M DE PROFUNDIDADE E AFASTAMENTO LATERAL DOMATERIAL EXCEDENTE,EXCLUSIVE COMPACTACAO</t>
  </si>
  <si>
    <t>01.005.0001-0</t>
  </si>
  <si>
    <t>3.1.1</t>
  </si>
  <si>
    <t>FORNECIMENTO E INSTALAÇÃO DE PLACA DE OBRA COM CHAPA GALVANIZADA E ESTRUTURA DE MADEIRA. AF_03/2022_PS</t>
  </si>
  <si>
    <t>2.2.6</t>
  </si>
  <si>
    <t>SANITARIO COM VASO E CHUVEIRO PARA PESSOAL DE OBRA,COLETIVODE 2 UNIDADES E 4,00M2 EXECUTADO COM TABUAS DE MADEIRA DE 3ª,E TELHAS ONDULADAS DE 6MM DE FIBROCIMENTO,INCLUSIVE INSTALACOES,APARELHOS,ESQUADRIAS E FERRAGENS CONSIDERANDO REAPROVEITAMENTO DAS INSTALACOES E APARELHOS 2 VEZES</t>
  </si>
  <si>
    <t>02.004.0013-0</t>
  </si>
  <si>
    <t>2.2.3</t>
  </si>
  <si>
    <t>TAPUME COM TELHA METÁLICA. AF_05/2018</t>
  </si>
  <si>
    <t>2.2.1</t>
  </si>
  <si>
    <t>APÓS A INSTALAÇÃO DE TODOS OS COMPONENTES</t>
  </si>
  <si>
    <t>ETAPA INICIAL DA OBRA</t>
  </si>
  <si>
    <t>EVENTO 4</t>
  </si>
  <si>
    <t>MONTAGEM E DESMONTAGEM DE ANDAIME TUBULAR TIPO TORRE (EXCLUSIVE ANDAIME E LIMPEZA). AF_11/2017</t>
  </si>
  <si>
    <t>2.4.4</t>
  </si>
  <si>
    <t>MONTAGEM E DESMONTAGEM DE ANDAIME MODULAR FACHADEIRO, COM PISO METÁLICO, PARA EDIFICAÇÕES COM MÚLTIPLOS PAVIMENTOS (EXCLUSIVE ANDAIME E LIMPEZA). AF_11/2017</t>
  </si>
  <si>
    <t>2.4.3</t>
  </si>
  <si>
    <t>MXMES</t>
  </si>
  <si>
    <t>LOCACAO DE ANDAIME METALICO TUBULAR DE ENCAIXE, TIPO DE TORRE, CADA PAINEL COM LARGURA DE 1 ATE 1,5 M E ALTURA DE *1,00* M, INCLUINDO DIAGONAL, BARRAS DE LIGACAO, SAPATAS OU RODIZIOS E DEMAIS ITENS NECESSARIOS A MONTAGEM (NAO INCLUI INSTALACAO)</t>
  </si>
  <si>
    <t>2.4.2</t>
  </si>
  <si>
    <t>M2XMES</t>
  </si>
  <si>
    <t>LOCACAO DE ANDAIME METALICO TIPO FACHADEIRO, PECAS COM APROXIMADAMENTE 1,20 M DE LARGURA E 2,0 M DE ALTURA, INCLUINDO DIAGONAIS EM X, BARRAS DE LIGACAO, SAPATAS E DEMAIS ITENS NECESSARIOS A MONTAGEM (NAO INCLUI INSTALACAO)</t>
  </si>
  <si>
    <t>2.4.1</t>
  </si>
  <si>
    <t>PROPORCIONAL AO AVANÇO DA OBRA (EVENTOS 4 A 48)</t>
  </si>
  <si>
    <t>ANDAIMES</t>
  </si>
  <si>
    <t>3 A 12</t>
  </si>
  <si>
    <t>PROPORCIONAL 3</t>
  </si>
  <si>
    <t>CARGA E DESCARGA DE CONTAINER,SEGUNDO DESCRICAO DA FAMILIA 02.006</t>
  </si>
  <si>
    <t>04.013.0015-0</t>
  </si>
  <si>
    <t>2.3.2</t>
  </si>
  <si>
    <t>UNXKM</t>
  </si>
  <si>
    <t>TRANSPORTE DE CONTAINER,SEGUNDO DESCRICAO DA FAMILIA 02.006,EXCLUSIVE CARGA E DESCARGA(VIDE ITEM 04.013.0015)</t>
  </si>
  <si>
    <t>04.005.0300-0</t>
  </si>
  <si>
    <t>2.3.1</t>
  </si>
  <si>
    <t>INSTALACAO E LIGACAO PROVISORIA DE ALIMENTACAO DE ENERGIA ELETRICA,EM BAIXA TENSAO,PARA CANTEIRO DE OBRAS,M3-CHAVE 100A,CARGA 3KW,20CV,EXCLUSIVE O FORNECIMENTO DO MEDIDOR</t>
  </si>
  <si>
    <t>02.016.0001-0</t>
  </si>
  <si>
    <t>2.2.5</t>
  </si>
  <si>
    <t>INSTALACAO E LIGACAO PROVISORIA PARA ABASTECIMENTO DE AGUA EESGOTAMENTO SANITARIO EM CANTEIRO DE OBRAS,INCLUSIVE ESCAVACAO,EXCLUSIVE REPOSICAO DA PAVIMENTACAO DO LOGRADOURO PUBLICO</t>
  </si>
  <si>
    <t>02.015.0001-0</t>
  </si>
  <si>
    <t>2.2.4</t>
  </si>
  <si>
    <t>UNXMES</t>
  </si>
  <si>
    <t>ALUGUEL CONTAINER (MODULO METALICO ICAVEL),P/ESCRITORIO C/WC,MED.APROX.2,30M LARG.6,00M COMPR.E 2,50M ALT.CHAPAS ACO C/NERVURAS TRAPEZOIDAIS,ISOLAMENTO TERMO-ACUSTICO FORRO,CHASSISREFORCADO E PISO COMPENSADO NAVAL,INCLUINDO INST.ELETR.HIDROSSANITARIAS,SUPRIDO ACESSORIOS,1 BACIA SANITARIA E 1 LAVATORIO,EXCL.TRANSP.(04.005.0300),CARGA E DESCARGA (04.013.0015)</t>
  </si>
  <si>
    <t>02.006.0015-0</t>
  </si>
  <si>
    <t>2.2.2</t>
  </si>
  <si>
    <t>MOBILIZAÇÃO E CANTEIRO - MENSAL</t>
  </si>
  <si>
    <t>PROPORCIONAL 2</t>
  </si>
  <si>
    <t>PROJETO EXECUTIVO DE SISTEMA DE AR CONDICIONADO,CONSIDERANDOO PROJETO BASICO EXISTENTE,APRESENTADO NOS PADROES DA CONTRATANTE,PARA PREDIOS COM AREA ATE 500M2</t>
  </si>
  <si>
    <t>01.050.0530-0</t>
  </si>
  <si>
    <t>2.1.6</t>
  </si>
  <si>
    <t>PROJETO EXECUTIVO DE INSTALACAO DE INCENDIO E SPDA,CONSIDERANDO PROJETO BASICO EXISTENTE,PARA PREDIOS ESCOLARES E/OU ADMINISTRATIVOS ATE 500M2,APRESENTADO NOS PADROES DA CONTRATANTE,INCLUSIVE AS LEGALIZACOES PERTINENTES</t>
  </si>
  <si>
    <t>01.050.0376-0</t>
  </si>
  <si>
    <t>2.1.2</t>
  </si>
  <si>
    <t>APÓS A ENTREGA FORMAL E APROVAÇÃO DOS FISCAIS</t>
  </si>
  <si>
    <t>PROJETOS COMPLEMENTARES 2</t>
  </si>
  <si>
    <t>EVENTO 3</t>
  </si>
  <si>
    <t>PROJETO EXECUTIVO DE INSTALACAO ELETRICA,CONSIDERANDO O PROJETO BASICO EXISTENTE,PARA PREDIOS ESCOLARES E/OU ADMINISTRATIVOS ATE 500M2,APRESENTADO NOS PADROES DA CONTRATANTE,INCLUSIVE AS LEGALIZACOES PERTINENTES</t>
  </si>
  <si>
    <t>01.050.0515-0</t>
  </si>
  <si>
    <t>2.1.5</t>
  </si>
  <si>
    <t>PROJETO EXECUTIVO DE INSTALACAO HIDRAULICA,CONSIDERANDO O PROJETO BASICO EXISTENTE,PARA PREDIOS ESCOLARES E/OU ADMINISTRATIVOS ATE 500M2,APRESENTADO NOS PADROES DA CONTRATANTE,INCLUSIVE AS LEGALIZACOES PERTINENTES</t>
  </si>
  <si>
    <t>01.050.0478-0</t>
  </si>
  <si>
    <t>2.1.4</t>
  </si>
  <si>
    <t>PROJETO EXECUTIVO DE INSTALACAO DE ESGOTO SANITARIO E AGUASPLUVIAIS,CONSIDERANDO O PROJETO BASICO EXISTENTE,PARA PREDIOS ESCOLARES E/OU ADMINISTRATIVOS ATE 500M2,APRESENTADO NOS PADROES DA CONTRATANTE,INCLUSIVE AS LEGALIZACOES PERTINENTES</t>
  </si>
  <si>
    <t>01.050.0452-0</t>
  </si>
  <si>
    <t>2.1.3</t>
  </si>
  <si>
    <t>PROJETOS COMPLEMENTARES 1</t>
  </si>
  <si>
    <t>EVENTO 2</t>
  </si>
  <si>
    <t>PROJETO EXECUTIVO ESTRUTURAL PARA PREDIOS ESCOLARES E/OU ADMINISTRATIVOS ATE 500M2,CONSIDERANDO O PROJETO BASICO EXISTENTE,APRESENTADO NOS PADROES DA CONTRATANTE,CONSTANDO DE PLANTAS DE FORMA,ARMACAO E DETALHES</t>
  </si>
  <si>
    <t>01.050.0552-0</t>
  </si>
  <si>
    <t>2.1.7</t>
  </si>
  <si>
    <t>PROJETO EXECUTIVO DE ARQUITETURA,CONSIDERANDO O PROJETO BASICO EXISTENTE,PARA PREDIOS ESCOLARES E/OU ADMINISTRATIVOS ATE500M2,APRESENTADO NOS PADROES DA CONTRATANTE,INCLUSIVE AS LEGALIZACOES PERTINENTES,COORDENACAO E COMPATIBILIZACAO COM OS PROJETOS COMPLEMENTARES</t>
  </si>
  <si>
    <t>01.050.0356-0</t>
  </si>
  <si>
    <t>2.1.1</t>
  </si>
  <si>
    <t>PROJETOS INICIAIS</t>
  </si>
  <si>
    <t>EVENTO 1</t>
  </si>
  <si>
    <t>UR</t>
  </si>
  <si>
    <t>UNIDADE REF.P/COMPL.ADM LOCAL,CONSID:CONSUMO AGUA,TEL.ENERGIA ELETR.MAT.LIMPEZA ESCRITORIO,COMPUTADORES LICENCA OBRA,MOVEIS UTENSILIOS,AR COND.BEBEDOURO,ART,RRT,FOTOGRAFIAS,UNIFORMES,DARIAS,EXAMES ADMISSIONAIS,PERIODICOS E DEMISSIONAIS,CURSOS CAPACITACAO/TREINAMENTO ITENS COMPLEMENTEM DESP.NECESS.EXCL.DESP.C/CAFE MANHA,REFEICAO,CESTA BASICA E VALE TRANSPORTE</t>
  </si>
  <si>
    <t>1.1.3</t>
  </si>
  <si>
    <t>H</t>
  </si>
  <si>
    <t>ENGENHEIRO CIVIL DE OBRA JUNIOR COM ENCARGOS COMPLEMENTARES</t>
  </si>
  <si>
    <t>1.1.2</t>
  </si>
  <si>
    <t>ENCARREGADO GERAL COM ENCARGOS COMPLEMENTARES</t>
  </si>
  <si>
    <t>1.1.1</t>
  </si>
  <si>
    <t>ADMINISTRAÇÃO LOCAL</t>
  </si>
  <si>
    <t>PROPORCIONAL 1</t>
  </si>
  <si>
    <t>SALDO EVENTO</t>
  </si>
  <si>
    <t>TOTAL
SALDO</t>
  </si>
  <si>
    <t>QUANT
SALDO</t>
  </si>
  <si>
    <t>ACUMULADO EVENTO</t>
  </si>
  <si>
    <t>TOTAL ACUMULADO</t>
  </si>
  <si>
    <t>QUANT ACUMULADA</t>
  </si>
  <si>
    <t>TOTAL EVENTO</t>
  </si>
  <si>
    <t xml:space="preserve">TOTAL MEDIDO
1ª MEDIÇÃO </t>
  </si>
  <si>
    <t xml:space="preserve">QUANT MEDIDA
1ª MEDIÇÃO </t>
  </si>
  <si>
    <t>V.total COM BDI</t>
  </si>
  <si>
    <t>V.total</t>
  </si>
  <si>
    <t>v.unit</t>
  </si>
  <si>
    <t>Qdt</t>
  </si>
  <si>
    <t>PORCENTAGEM PREVISTA EVENTO</t>
  </si>
  <si>
    <t>VALOR TOTAL POR EVENTO</t>
  </si>
  <si>
    <t>PORCENTAGEM PREVISTA</t>
  </si>
  <si>
    <t>VALOR TOTAL COM BDI</t>
  </si>
  <si>
    <t>PREÇO UNITÁRIO COM BDI</t>
  </si>
  <si>
    <t>QUANTIDADE</t>
  </si>
  <si>
    <t>UND</t>
  </si>
  <si>
    <t>DESCRIÇÃO</t>
  </si>
  <si>
    <t>CADASTRO</t>
  </si>
  <si>
    <t>CÓDIGO</t>
  </si>
  <si>
    <t>ITEM</t>
  </si>
  <si>
    <t>CRITÉRIO DE MEDIÇÃO</t>
  </si>
  <si>
    <t xml:space="preserve">DESCRIÇÃO </t>
  </si>
  <si>
    <t>MÊS PREVISTO</t>
  </si>
  <si>
    <t>EVENTO</t>
  </si>
  <si>
    <t>VALOR TOTAL DO CONTRATO</t>
  </si>
  <si>
    <t xml:space="preserve"> SAO PEDRO DA ALDEIA</t>
  </si>
  <si>
    <t>MUNICÍPIO:</t>
  </si>
  <si>
    <t>22,47%</t>
  </si>
  <si>
    <t>BDI</t>
  </si>
  <si>
    <t>RUA NELSON DOS SANTOS DA SILVA, LOTE 12 - CENTRO</t>
  </si>
  <si>
    <t>ENDEREÇO:</t>
  </si>
  <si>
    <t>SALDO CONTRATUAL</t>
  </si>
  <si>
    <t>VALOR DO CONTRATO</t>
  </si>
  <si>
    <t>MEDIÇÃO ACUMULADA</t>
  </si>
  <si>
    <t>VALOR DA MEDIÇÃO</t>
  </si>
  <si>
    <t>CONTRATAÇÃO SEMI-INTEGRADA DE EMPRESA PARA CONSTRUÇÃO DE NOVA SEDE DA DEFENSORIA PÚBLICA DO ESTADO DO RIO DE JANEIRO, LOCALIZADA NA RUA NELSON DOS SANTOS, Nº 12, SÃO PEDRO DA ALDEIA - RJ, INCLUINDO ELABORAÇÃO DE PROJETO EXECUTIVO E DOS PROJETOS EXECUTIVOS COMPLEMENTARES, BEM COMO, APROVAÇÕES NOS ÓRGÃOS COMPETENTES, LICENÇAS E PLANEJAMENTO DA OBRA, ALÉM DA CONSTRUÇÃO DA EDIFICAÇÃO.
CONTRATO: 017/2026 | PROCESSO: E-20/001.009524/2024</t>
  </si>
  <si>
    <t>20/08/2026 A 18/09/2026</t>
  </si>
  <si>
    <t>PRERÍODO:</t>
  </si>
  <si>
    <t>BOLETIM 1ª MEDIÇÃO</t>
  </si>
  <si>
    <t>PLANILHA DE MEDIÇÃO POR EVENTOGRAMA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</si>
</sst>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quot;R$&quot;\ #,##0.00"/>
    <numFmt numFmtId="165" formatCode="&quot; R$ &quot;* #,##0.00\ ;&quot; R$ &quot;* \(#,##0.00\);&quot; R$ &quot;* \-#\ ;\ @\ "/>
  </numFmts>
  <fonts count="15">
    <font>
      <sz val="11"/>
      <color theme="1"/>
      <name val="Spranq eco sans"/>
      <family val="2"/>
    </font>
    <font>
      <sz val="11"/>
      <color theme="1"/>
      <name val="Arial"/>
      <family val="2"/>
    </font>
    <font>
      <b/>
      <sz val="11"/>
      <name val="Arial"/>
      <family val="2"/>
    </font>
    <font>
      <u/>
      <sz val="11"/>
      <color theme="10"/>
      <name val="Spranq eco sans"/>
      <family val="2"/>
    </font>
    <font>
      <sz val="10"/>
      <color rgb="FF000000"/>
      <name val="Arial"/>
      <charset val="1"/>
    </font>
    <font>
      <sz val="10"/>
      <color rgb="FF000000"/>
      <name val="Arial"/>
      <family val="2"/>
    </font>
    <font>
      <sz val="8"/>
      <color indexed="8"/>
      <name val="Calibri"/>
      <family val="2"/>
    </font>
    <font>
      <b/>
      <sz val="11"/>
      <color theme="1"/>
      <name val="Calibri"/>
      <family val="2"/>
      <scheme val="minor"/>
    </font>
    <font>
      <sz val="10"/>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
      <b/>
      <sz val="20"/>
      <name val="Calibri"/>
      <family val="2"/>
      <scheme val="minor"/>
    </font>
    <font>
      <b/>
      <sz val="14"/>
      <color rgb="FF000000"/>
      <name val="Calibri"/>
      <family val="2"/>
      <scheme val="minor"/>
    </font>
    <font>
      <b/>
      <sz val="14"/>
      <name val="Calibri"/>
      <family val="2"/>
      <scheme val="minor"/>
    </font>
  </fonts>
  <fills count="7">
    <fill>
      <patternFill patternType="none"/>
    </fill>
    <fill>
      <patternFill patternType="gray125"/>
    </fill>
    <fill>
      <patternFill patternType="solid">
        <fgColor rgb="FFC5E0B3"/>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6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auto="1"/>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auto="1"/>
      </right>
      <top style="thin">
        <color auto="1"/>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thin">
        <color indexed="64"/>
      </right>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top style="thin">
        <color auto="1"/>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auto="1"/>
      </right>
      <top/>
      <bottom style="thin">
        <color auto="1"/>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auto="1"/>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s>
  <cellStyleXfs count="8">
    <xf numFmtId="0" fontId="0" fillId="0" borderId="0"/>
    <xf numFmtId="0" fontId="3" fillId="0" borderId="0" applyNumberFormat="0" applyFill="0" applyBorder="0" applyAlignment="0" applyProtection="0"/>
    <xf numFmtId="0" fontId="4" fillId="0" borderId="0"/>
    <xf numFmtId="44" fontId="5" fillId="0" borderId="0" applyFont="0" applyFill="0" applyBorder="0" applyAlignment="0" applyProtection="0"/>
    <xf numFmtId="9" fontId="5" fillId="0" borderId="0" applyFont="0" applyFill="0" applyBorder="0" applyAlignment="0" applyProtection="0"/>
    <xf numFmtId="0" fontId="6" fillId="0" borderId="0"/>
    <xf numFmtId="165" fontId="6" fillId="0" borderId="0" applyFill="0" applyBorder="0" applyAlignment="0" applyProtection="0"/>
    <xf numFmtId="9" fontId="6" fillId="0" borderId="0" applyFill="0" applyBorder="0" applyAlignment="0" applyProtection="0"/>
  </cellStyleXfs>
  <cellXfs count="384">
    <xf numFmtId="0" fontId="0" fillId="0" borderId="0" xfId="0"/>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10"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164" fontId="3" fillId="0" borderId="2" xfId="1" quotePrefix="1" applyNumberFormat="1" applyFill="1" applyBorder="1" applyAlignment="1">
      <alignment horizontal="center" vertical="center" wrapText="1"/>
    </xf>
    <xf numFmtId="0" fontId="0" fillId="0" borderId="2" xfId="0" applyBorder="1" applyAlignment="1">
      <alignment horizontal="center" vertical="center" wrapText="1"/>
    </xf>
    <xf numFmtId="0" fontId="3" fillId="0" borderId="2" xfId="1" quotePrefix="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0" xfId="2"/>
    <xf numFmtId="44" fontId="0" fillId="0" borderId="0" xfId="3" applyFont="1" applyAlignment="1">
      <alignment horizontal="center"/>
    </xf>
    <xf numFmtId="2" fontId="4" fillId="0" borderId="0" xfId="2" applyNumberFormat="1" applyAlignment="1">
      <alignment horizontal="center"/>
    </xf>
    <xf numFmtId="0" fontId="4" fillId="0" borderId="0" xfId="2" applyAlignment="1">
      <alignment horizontal="center" vertical="center"/>
    </xf>
    <xf numFmtId="44" fontId="4" fillId="0" borderId="0" xfId="2" applyNumberFormat="1" applyAlignment="1">
      <alignment horizontal="center" vertical="center"/>
    </xf>
    <xf numFmtId="2" fontId="4" fillId="0" borderId="0" xfId="2" applyNumberFormat="1" applyAlignment="1">
      <alignment horizontal="center" vertical="center"/>
    </xf>
    <xf numFmtId="0" fontId="4" fillId="0" borderId="0" xfId="2" applyAlignment="1">
      <alignment horizontal="center" vertical="center" wrapText="1"/>
    </xf>
    <xf numFmtId="4" fontId="4" fillId="0" borderId="0" xfId="2" applyNumberFormat="1" applyAlignment="1">
      <alignment horizontal="center" vertical="center"/>
    </xf>
    <xf numFmtId="44" fontId="4" fillId="0" borderId="0" xfId="2" applyNumberFormat="1" applyAlignment="1">
      <alignment horizontal="center"/>
    </xf>
    <xf numFmtId="10" fontId="4" fillId="0" borderId="0" xfId="2" applyNumberFormat="1" applyAlignment="1">
      <alignment horizontal="center" vertical="center"/>
    </xf>
    <xf numFmtId="44" fontId="0" fillId="0" borderId="0" xfId="3" applyFont="1" applyAlignment="1">
      <alignment horizontal="center" vertical="center"/>
    </xf>
    <xf numFmtId="0" fontId="4" fillId="0" borderId="5" xfId="2" applyBorder="1" applyAlignment="1">
      <alignment horizontal="center" vertical="center"/>
    </xf>
    <xf numFmtId="44" fontId="8" fillId="0" borderId="6" xfId="3" applyFont="1" applyFill="1" applyBorder="1" applyAlignment="1">
      <alignment horizontal="center" vertical="center"/>
    </xf>
    <xf numFmtId="2" fontId="8" fillId="0" borderId="7" xfId="3" applyNumberFormat="1" applyFont="1" applyFill="1" applyBorder="1" applyAlignment="1">
      <alignment horizontal="center" vertical="center"/>
    </xf>
    <xf numFmtId="0" fontId="4" fillId="0" borderId="8" xfId="2" applyBorder="1" applyAlignment="1">
      <alignment horizontal="center" vertical="center"/>
    </xf>
    <xf numFmtId="44" fontId="0" fillId="0" borderId="9" xfId="3" applyFont="1" applyBorder="1" applyAlignment="1">
      <alignment horizontal="center"/>
    </xf>
    <xf numFmtId="44" fontId="0" fillId="0" borderId="10" xfId="3" applyFont="1" applyBorder="1" applyAlignment="1">
      <alignment horizontal="center"/>
    </xf>
    <xf numFmtId="44" fontId="0" fillId="0" borderId="6" xfId="3" applyFont="1" applyBorder="1" applyAlignment="1">
      <alignment horizontal="center"/>
    </xf>
    <xf numFmtId="2" fontId="4" fillId="0" borderId="9" xfId="2" applyNumberFormat="1" applyBorder="1" applyAlignment="1">
      <alignment horizontal="center"/>
    </xf>
    <xf numFmtId="10" fontId="0" fillId="3" borderId="5" xfId="4" applyNumberFormat="1" applyFont="1" applyFill="1" applyBorder="1" applyAlignment="1">
      <alignment horizontal="center" vertical="center"/>
    </xf>
    <xf numFmtId="44" fontId="0" fillId="0" borderId="11" xfId="3" applyFont="1" applyBorder="1" applyAlignment="1">
      <alignment horizontal="center" vertical="center"/>
    </xf>
    <xf numFmtId="10" fontId="0" fillId="0" borderId="6" xfId="4" applyNumberFormat="1" applyFont="1" applyBorder="1" applyAlignment="1">
      <alignment horizontal="center" vertical="center"/>
    </xf>
    <xf numFmtId="44" fontId="0" fillId="0" borderId="6" xfId="3" applyFont="1" applyBorder="1" applyAlignment="1">
      <alignment horizontal="center" vertical="center"/>
    </xf>
    <xf numFmtId="44" fontId="4" fillId="0" borderId="6" xfId="2" applyNumberFormat="1" applyBorder="1" applyAlignment="1">
      <alignment horizontal="center" vertical="center"/>
    </xf>
    <xf numFmtId="2" fontId="4" fillId="0" borderId="6" xfId="2" applyNumberFormat="1" applyBorder="1" applyAlignment="1">
      <alignment horizontal="center" vertical="center"/>
    </xf>
    <xf numFmtId="0" fontId="4" fillId="0" borderId="6" xfId="2" applyBorder="1" applyAlignment="1">
      <alignment horizontal="center" vertical="center"/>
    </xf>
    <xf numFmtId="0" fontId="4" fillId="0" borderId="6" xfId="2" applyBorder="1" applyAlignment="1">
      <alignment horizontal="center" vertical="center" wrapText="1"/>
    </xf>
    <xf numFmtId="0" fontId="4" fillId="0" borderId="6" xfId="2" applyBorder="1" applyAlignment="1">
      <alignment horizontal="center" vertical="center" wrapText="1"/>
    </xf>
    <xf numFmtId="0" fontId="4" fillId="0" borderId="7" xfId="2" applyBorder="1" applyAlignment="1">
      <alignment horizontal="center" vertical="center" wrapText="1"/>
    </xf>
    <xf numFmtId="0" fontId="4" fillId="0" borderId="12" xfId="2" applyBorder="1" applyAlignment="1">
      <alignment horizontal="center" vertical="center"/>
    </xf>
    <xf numFmtId="44" fontId="8" fillId="0" borderId="13" xfId="3" applyFont="1" applyFill="1" applyBorder="1" applyAlignment="1">
      <alignment horizontal="center" vertical="center"/>
    </xf>
    <xf numFmtId="2" fontId="8" fillId="0" borderId="14" xfId="3" applyNumberFormat="1" applyFont="1" applyFill="1" applyBorder="1" applyAlignment="1">
      <alignment horizontal="center" vertical="center"/>
    </xf>
    <xf numFmtId="0" fontId="4" fillId="0" borderId="15" xfId="2" applyBorder="1" applyAlignment="1">
      <alignment horizontal="center" vertical="center"/>
    </xf>
    <xf numFmtId="44" fontId="8" fillId="0" borderId="16" xfId="3" applyFont="1" applyFill="1" applyBorder="1" applyAlignment="1">
      <alignment horizontal="center" vertical="center"/>
    </xf>
    <xf numFmtId="44" fontId="0" fillId="0" borderId="17" xfId="3" applyFont="1" applyBorder="1" applyAlignment="1">
      <alignment horizontal="center"/>
    </xf>
    <xf numFmtId="44" fontId="0" fillId="0" borderId="18" xfId="3" applyFont="1" applyBorder="1" applyAlignment="1">
      <alignment horizontal="center"/>
    </xf>
    <xf numFmtId="44" fontId="0" fillId="0" borderId="16" xfId="3" applyFont="1" applyBorder="1" applyAlignment="1">
      <alignment horizontal="center"/>
    </xf>
    <xf numFmtId="2" fontId="4" fillId="0" borderId="17" xfId="2" applyNumberFormat="1" applyBorder="1" applyAlignment="1">
      <alignment horizontal="center"/>
    </xf>
    <xf numFmtId="10" fontId="0" fillId="3" borderId="12" xfId="4" applyNumberFormat="1" applyFont="1" applyFill="1" applyBorder="1" applyAlignment="1">
      <alignment horizontal="center" vertical="center"/>
    </xf>
    <xf numFmtId="44" fontId="0" fillId="0" borderId="19" xfId="3" applyFont="1" applyBorder="1" applyAlignment="1">
      <alignment horizontal="center" vertical="center"/>
    </xf>
    <xf numFmtId="10" fontId="0" fillId="0" borderId="16" xfId="4" applyNumberFormat="1" applyFont="1" applyBorder="1" applyAlignment="1">
      <alignment horizontal="center" vertical="center"/>
    </xf>
    <xf numFmtId="44" fontId="0" fillId="0" borderId="16" xfId="3" applyFont="1" applyBorder="1" applyAlignment="1">
      <alignment horizontal="center" vertical="center"/>
    </xf>
    <xf numFmtId="44" fontId="4" fillId="0" borderId="16" xfId="2" applyNumberFormat="1" applyBorder="1" applyAlignment="1">
      <alignment horizontal="center" vertical="center"/>
    </xf>
    <xf numFmtId="2" fontId="4" fillId="0" borderId="16" xfId="2" applyNumberFormat="1" applyBorder="1" applyAlignment="1">
      <alignment horizontal="center" vertical="center"/>
    </xf>
    <xf numFmtId="0" fontId="4" fillId="0" borderId="16" xfId="2" applyBorder="1" applyAlignment="1">
      <alignment horizontal="center" vertical="center"/>
    </xf>
    <xf numFmtId="0" fontId="4" fillId="0" borderId="16" xfId="2" applyBorder="1" applyAlignment="1">
      <alignment horizontal="center" vertical="center" wrapText="1"/>
    </xf>
    <xf numFmtId="0" fontId="4" fillId="0" borderId="16" xfId="2" applyBorder="1" applyAlignment="1">
      <alignment horizontal="center" vertical="center" wrapText="1"/>
    </xf>
    <xf numFmtId="0" fontId="4" fillId="0" borderId="14" xfId="2" applyBorder="1" applyAlignment="1">
      <alignment horizontal="center" vertical="center" wrapText="1"/>
    </xf>
    <xf numFmtId="44" fontId="4" fillId="0" borderId="20" xfId="2" applyNumberFormat="1" applyBorder="1" applyAlignment="1">
      <alignment horizontal="center" vertical="center"/>
    </xf>
    <xf numFmtId="44" fontId="8" fillId="0" borderId="21" xfId="3" applyFont="1" applyFill="1" applyBorder="1" applyAlignment="1">
      <alignment horizontal="center" vertical="center"/>
    </xf>
    <xf numFmtId="2" fontId="8" fillId="0" borderId="22" xfId="3" applyNumberFormat="1" applyFont="1" applyFill="1" applyBorder="1" applyAlignment="1">
      <alignment horizontal="center" vertical="center"/>
    </xf>
    <xf numFmtId="44" fontId="4" fillId="0" borderId="23" xfId="2" applyNumberFormat="1" applyBorder="1" applyAlignment="1">
      <alignment horizontal="center" vertical="center"/>
    </xf>
    <xf numFmtId="44" fontId="8" fillId="0" borderId="24" xfId="3" applyFont="1" applyFill="1" applyBorder="1" applyAlignment="1">
      <alignment horizontal="center" vertical="center"/>
    </xf>
    <xf numFmtId="44" fontId="0" fillId="0" borderId="25" xfId="3" applyFont="1" applyBorder="1" applyAlignment="1">
      <alignment horizontal="center"/>
    </xf>
    <xf numFmtId="44" fontId="0" fillId="0" borderId="26" xfId="3" applyFont="1" applyBorder="1" applyAlignment="1">
      <alignment horizontal="center"/>
    </xf>
    <xf numFmtId="44" fontId="0" fillId="0" borderId="24" xfId="3" applyFont="1" applyBorder="1" applyAlignment="1">
      <alignment horizontal="center"/>
    </xf>
    <xf numFmtId="2" fontId="4" fillId="0" borderId="25" xfId="2" applyNumberFormat="1" applyBorder="1" applyAlignment="1">
      <alignment horizontal="center"/>
    </xf>
    <xf numFmtId="10" fontId="0" fillId="3" borderId="20" xfId="4" applyNumberFormat="1" applyFont="1" applyFill="1" applyBorder="1" applyAlignment="1">
      <alignment horizontal="center" vertical="center"/>
    </xf>
    <xf numFmtId="44" fontId="0" fillId="0" borderId="21" xfId="3" applyFont="1" applyBorder="1" applyAlignment="1">
      <alignment horizontal="center" vertical="center"/>
    </xf>
    <xf numFmtId="10" fontId="0" fillId="0" borderId="24" xfId="4" applyNumberFormat="1" applyFont="1" applyBorder="1" applyAlignment="1">
      <alignment horizontal="center" vertical="center"/>
    </xf>
    <xf numFmtId="44" fontId="0" fillId="0" borderId="24" xfId="3" applyFont="1" applyBorder="1" applyAlignment="1">
      <alignment horizontal="center" vertical="center"/>
    </xf>
    <xf numFmtId="44" fontId="4" fillId="0" borderId="24" xfId="2" applyNumberFormat="1" applyBorder="1" applyAlignment="1">
      <alignment horizontal="center" vertical="center"/>
    </xf>
    <xf numFmtId="2" fontId="4" fillId="0" borderId="24" xfId="2" applyNumberFormat="1" applyBorder="1" applyAlignment="1">
      <alignment horizontal="center" vertical="center"/>
    </xf>
    <xf numFmtId="0" fontId="4" fillId="0" borderId="24" xfId="2" applyBorder="1" applyAlignment="1">
      <alignment horizontal="center" vertical="center"/>
    </xf>
    <xf numFmtId="0" fontId="4" fillId="0" borderId="24" xfId="2" applyBorder="1" applyAlignment="1">
      <alignment horizontal="center" vertical="center" wrapText="1"/>
    </xf>
    <xf numFmtId="0" fontId="4" fillId="0" borderId="24" xfId="2" applyBorder="1" applyAlignment="1">
      <alignment horizontal="center" vertical="center" wrapText="1"/>
    </xf>
    <xf numFmtId="0" fontId="4" fillId="0" borderId="22" xfId="2" applyBorder="1" applyAlignment="1">
      <alignment horizontal="center" vertical="center" wrapText="1"/>
    </xf>
    <xf numFmtId="44" fontId="8" fillId="0" borderId="12" xfId="3" applyFont="1" applyFill="1" applyBorder="1" applyAlignment="1">
      <alignment horizontal="center" vertical="center"/>
    </xf>
    <xf numFmtId="2" fontId="8" fillId="0" borderId="27" xfId="3" applyNumberFormat="1" applyFont="1" applyFill="1" applyBorder="1" applyAlignment="1">
      <alignment horizontal="center" vertical="center"/>
    </xf>
    <xf numFmtId="44" fontId="8" fillId="0" borderId="15" xfId="3" applyFont="1" applyFill="1" applyBorder="1" applyAlignment="1">
      <alignment horizontal="center" vertical="center"/>
    </xf>
    <xf numFmtId="44" fontId="0" fillId="0" borderId="28" xfId="3" applyFont="1" applyBorder="1" applyAlignment="1">
      <alignment horizontal="center"/>
    </xf>
    <xf numFmtId="44" fontId="0" fillId="0" borderId="29" xfId="3" applyFont="1" applyBorder="1" applyAlignment="1">
      <alignment horizontal="center"/>
    </xf>
    <xf numFmtId="44" fontId="0" fillId="0" borderId="13" xfId="3" applyFont="1" applyBorder="1" applyAlignment="1">
      <alignment horizontal="center"/>
    </xf>
    <xf numFmtId="2" fontId="4" fillId="0" borderId="13" xfId="2" applyNumberFormat="1" applyBorder="1" applyAlignment="1">
      <alignment horizontal="center"/>
    </xf>
    <xf numFmtId="10" fontId="0" fillId="0" borderId="13" xfId="4" applyNumberFormat="1" applyFont="1" applyBorder="1" applyAlignment="1">
      <alignment horizontal="center" vertical="center"/>
    </xf>
    <xf numFmtId="44" fontId="0" fillId="0" borderId="13" xfId="3" applyFont="1" applyBorder="1" applyAlignment="1">
      <alignment horizontal="center" vertical="center"/>
    </xf>
    <xf numFmtId="44" fontId="4" fillId="0" borderId="13" xfId="2" applyNumberFormat="1" applyBorder="1" applyAlignment="1">
      <alignment horizontal="center" vertical="center"/>
    </xf>
    <xf numFmtId="2" fontId="4" fillId="0" borderId="13" xfId="2" applyNumberFormat="1" applyBorder="1" applyAlignment="1">
      <alignment horizontal="center" vertical="center"/>
    </xf>
    <xf numFmtId="0" fontId="4" fillId="0" borderId="13" xfId="2" applyBorder="1" applyAlignment="1">
      <alignment horizontal="center" vertical="center"/>
    </xf>
    <xf numFmtId="0" fontId="4" fillId="0" borderId="13" xfId="2" applyBorder="1" applyAlignment="1">
      <alignment horizontal="center" vertical="center" wrapText="1"/>
    </xf>
    <xf numFmtId="0" fontId="4" fillId="0" borderId="19" xfId="2" applyBorder="1" applyAlignment="1">
      <alignment horizontal="center" vertical="center"/>
    </xf>
    <xf numFmtId="0" fontId="4" fillId="0" borderId="13" xfId="2" applyBorder="1" applyAlignment="1">
      <alignment horizontal="center" vertical="center" wrapText="1"/>
    </xf>
    <xf numFmtId="0" fontId="4" fillId="0" borderId="27" xfId="2" applyBorder="1" applyAlignment="1">
      <alignment horizontal="center" vertical="center"/>
    </xf>
    <xf numFmtId="2" fontId="4" fillId="0" borderId="16" xfId="2" applyNumberFormat="1" applyBorder="1" applyAlignment="1">
      <alignment horizontal="center"/>
    </xf>
    <xf numFmtId="0" fontId="4" fillId="0" borderId="14" xfId="2" applyBorder="1" applyAlignment="1">
      <alignment horizontal="center" vertical="center"/>
    </xf>
    <xf numFmtId="44" fontId="8" fillId="0" borderId="20" xfId="3" applyFont="1" applyFill="1" applyBorder="1" applyAlignment="1">
      <alignment horizontal="center" vertical="center"/>
    </xf>
    <xf numFmtId="44" fontId="8" fillId="0" borderId="23" xfId="3" applyFont="1" applyFill="1" applyBorder="1" applyAlignment="1">
      <alignment horizontal="center" vertical="center"/>
    </xf>
    <xf numFmtId="0" fontId="4" fillId="0" borderId="22" xfId="2" applyBorder="1" applyAlignment="1">
      <alignment horizontal="center" vertical="center"/>
    </xf>
    <xf numFmtId="44" fontId="8" fillId="0" borderId="5" xfId="3" applyFont="1" applyFill="1" applyBorder="1" applyAlignment="1">
      <alignment horizontal="center" vertical="center"/>
    </xf>
    <xf numFmtId="44" fontId="8" fillId="0" borderId="8" xfId="3" applyFont="1" applyFill="1" applyBorder="1" applyAlignment="1">
      <alignment horizontal="center" vertical="center"/>
    </xf>
    <xf numFmtId="0" fontId="4" fillId="0" borderId="7" xfId="2" applyBorder="1" applyAlignment="1">
      <alignment horizontal="center" vertical="center"/>
    </xf>
    <xf numFmtId="44" fontId="4" fillId="0" borderId="5" xfId="2" applyNumberFormat="1" applyBorder="1" applyAlignment="1">
      <alignment horizontal="center" vertical="center"/>
    </xf>
    <xf numFmtId="44" fontId="4" fillId="0" borderId="8" xfId="2" applyNumberFormat="1" applyBorder="1" applyAlignment="1">
      <alignment horizontal="center" vertical="center"/>
    </xf>
    <xf numFmtId="44" fontId="4" fillId="0" borderId="12" xfId="2" applyNumberFormat="1" applyBorder="1" applyAlignment="1">
      <alignment horizontal="center" vertical="center"/>
    </xf>
    <xf numFmtId="44" fontId="4" fillId="0" borderId="15" xfId="2" applyNumberFormat="1" applyBorder="1" applyAlignment="1">
      <alignment horizontal="center" vertical="center"/>
    </xf>
    <xf numFmtId="10" fontId="0" fillId="3" borderId="10" xfId="4" applyNumberFormat="1" applyFont="1" applyFill="1" applyBorder="1" applyAlignment="1">
      <alignment horizontal="center" vertical="center"/>
    </xf>
    <xf numFmtId="44" fontId="0" fillId="0" borderId="6" xfId="3" applyFont="1" applyBorder="1" applyAlignment="1">
      <alignment horizontal="center" vertical="center"/>
    </xf>
    <xf numFmtId="10" fontId="0" fillId="3" borderId="26" xfId="4" applyNumberFormat="1" applyFont="1" applyFill="1" applyBorder="1" applyAlignment="1">
      <alignment horizontal="center" vertical="center"/>
    </xf>
    <xf numFmtId="44" fontId="0" fillId="0" borderId="24" xfId="3" applyFont="1" applyBorder="1" applyAlignment="1">
      <alignment horizontal="center" vertical="center"/>
    </xf>
    <xf numFmtId="10" fontId="0" fillId="0" borderId="30" xfId="4" applyNumberFormat="1" applyFont="1" applyBorder="1" applyAlignment="1">
      <alignment horizontal="center" vertical="center"/>
    </xf>
    <xf numFmtId="44" fontId="0" fillId="0" borderId="30" xfId="3" applyFont="1" applyBorder="1" applyAlignment="1">
      <alignment horizontal="center" vertical="center"/>
    </xf>
    <xf numFmtId="44" fontId="4" fillId="0" borderId="30" xfId="2" applyNumberFormat="1" applyBorder="1" applyAlignment="1">
      <alignment horizontal="center" vertical="center"/>
    </xf>
    <xf numFmtId="2" fontId="4" fillId="0" borderId="30" xfId="2" applyNumberFormat="1" applyBorder="1" applyAlignment="1">
      <alignment horizontal="center" vertical="center"/>
    </xf>
    <xf numFmtId="0" fontId="4" fillId="0" borderId="30" xfId="2" applyBorder="1" applyAlignment="1">
      <alignment horizontal="center" vertical="center"/>
    </xf>
    <xf numFmtId="0" fontId="4" fillId="0" borderId="30" xfId="2" applyBorder="1" applyAlignment="1">
      <alignment horizontal="center" vertical="center" wrapText="1"/>
    </xf>
    <xf numFmtId="0" fontId="4" fillId="0" borderId="30" xfId="2" applyBorder="1" applyAlignment="1">
      <alignment horizontal="center" vertical="center" wrapText="1"/>
    </xf>
    <xf numFmtId="0" fontId="4" fillId="0" borderId="31" xfId="2" applyBorder="1" applyAlignment="1">
      <alignment horizontal="center" vertical="center"/>
    </xf>
    <xf numFmtId="44" fontId="8" fillId="0" borderId="10" xfId="3" applyFont="1" applyFill="1" applyBorder="1" applyAlignment="1">
      <alignment horizontal="center" vertical="center"/>
    </xf>
    <xf numFmtId="0" fontId="4" fillId="0" borderId="6" xfId="2" applyBorder="1" applyAlignment="1">
      <alignment horizontal="center" vertical="center"/>
    </xf>
    <xf numFmtId="44" fontId="8" fillId="0" borderId="18" xfId="3" applyFont="1" applyFill="1" applyBorder="1" applyAlignment="1">
      <alignment horizontal="center" vertical="center"/>
    </xf>
    <xf numFmtId="0" fontId="4" fillId="0" borderId="16" xfId="2" applyBorder="1" applyAlignment="1">
      <alignment horizontal="center" vertical="center"/>
    </xf>
    <xf numFmtId="44" fontId="8" fillId="0" borderId="26" xfId="3" applyFont="1" applyFill="1" applyBorder="1" applyAlignment="1">
      <alignment horizontal="center" vertical="center"/>
    </xf>
    <xf numFmtId="0" fontId="4" fillId="0" borderId="24" xfId="2" applyBorder="1" applyAlignment="1">
      <alignment horizontal="center" vertical="center"/>
    </xf>
    <xf numFmtId="2" fontId="8" fillId="0" borderId="32" xfId="3" applyNumberFormat="1" applyFont="1" applyFill="1" applyBorder="1" applyAlignment="1">
      <alignment horizontal="center" vertical="center"/>
    </xf>
    <xf numFmtId="44" fontId="4" fillId="3" borderId="11" xfId="2" applyNumberFormat="1" applyFill="1" applyBorder="1" applyAlignment="1">
      <alignment horizontal="center" vertical="center"/>
    </xf>
    <xf numFmtId="0" fontId="4" fillId="0" borderId="33" xfId="2" applyBorder="1" applyAlignment="1">
      <alignment horizontal="center" vertical="center" wrapText="1"/>
    </xf>
    <xf numFmtId="0" fontId="4" fillId="0" borderId="34" xfId="2" applyBorder="1" applyAlignment="1">
      <alignment horizontal="center" vertical="center" wrapText="1"/>
    </xf>
    <xf numFmtId="44" fontId="4" fillId="3" borderId="19" xfId="2" applyNumberFormat="1" applyFill="1" applyBorder="1" applyAlignment="1">
      <alignment horizontal="center" vertical="center"/>
    </xf>
    <xf numFmtId="0" fontId="4" fillId="0" borderId="35" xfId="2" applyBorder="1" applyAlignment="1">
      <alignment horizontal="center" vertical="center" wrapText="1"/>
    </xf>
    <xf numFmtId="0" fontId="4" fillId="0" borderId="36" xfId="2" applyBorder="1" applyAlignment="1">
      <alignment horizontal="center" vertical="center" wrapText="1"/>
    </xf>
    <xf numFmtId="44" fontId="4" fillId="3" borderId="21" xfId="2" applyNumberFormat="1" applyFill="1" applyBorder="1" applyAlignment="1">
      <alignment horizontal="center" vertical="center"/>
    </xf>
    <xf numFmtId="0" fontId="4" fillId="0" borderId="37" xfId="2" applyBorder="1" applyAlignment="1">
      <alignment horizontal="center" vertical="center" wrapText="1"/>
    </xf>
    <xf numFmtId="0" fontId="4" fillId="0" borderId="32" xfId="2" applyBorder="1" applyAlignment="1">
      <alignment horizontal="center" vertical="center" wrapText="1"/>
    </xf>
    <xf numFmtId="0" fontId="4" fillId="0" borderId="34" xfId="2" applyBorder="1" applyAlignment="1">
      <alignment horizontal="center" vertical="center"/>
    </xf>
    <xf numFmtId="0" fontId="4" fillId="0" borderId="36" xfId="2" applyBorder="1" applyAlignment="1">
      <alignment horizontal="center" vertical="center"/>
    </xf>
    <xf numFmtId="0" fontId="4" fillId="0" borderId="32" xfId="2" applyBorder="1" applyAlignment="1">
      <alignment horizontal="center" vertical="center"/>
    </xf>
    <xf numFmtId="0" fontId="4" fillId="3" borderId="6" xfId="2" applyFill="1" applyBorder="1" applyAlignment="1">
      <alignment horizontal="center" vertical="center"/>
    </xf>
    <xf numFmtId="10" fontId="0" fillId="3" borderId="18" xfId="4" applyNumberFormat="1" applyFont="1" applyFill="1" applyBorder="1" applyAlignment="1">
      <alignment horizontal="center" vertical="center"/>
    </xf>
    <xf numFmtId="0" fontId="4" fillId="3" borderId="16" xfId="2" applyFill="1" applyBorder="1" applyAlignment="1">
      <alignment horizontal="center" vertical="center"/>
    </xf>
    <xf numFmtId="44" fontId="4" fillId="3" borderId="24" xfId="2" applyNumberFormat="1" applyFill="1" applyBorder="1" applyAlignment="1">
      <alignment horizontal="center" vertical="center"/>
    </xf>
    <xf numFmtId="44" fontId="8" fillId="0" borderId="38" xfId="3" applyFont="1" applyFill="1" applyBorder="1" applyAlignment="1">
      <alignment horizontal="center" vertical="center"/>
    </xf>
    <xf numFmtId="44" fontId="8" fillId="0" borderId="39" xfId="3" applyFont="1" applyFill="1" applyBorder="1" applyAlignment="1">
      <alignment horizontal="center" vertical="center"/>
    </xf>
    <xf numFmtId="2" fontId="8" fillId="0" borderId="9" xfId="3" applyNumberFormat="1" applyFont="1" applyFill="1" applyBorder="1" applyAlignment="1">
      <alignment horizontal="center" vertical="center"/>
    </xf>
    <xf numFmtId="44" fontId="8" fillId="0" borderId="11" xfId="3" applyFont="1" applyFill="1" applyBorder="1" applyAlignment="1">
      <alignment horizontal="center" vertical="center"/>
    </xf>
    <xf numFmtId="0" fontId="4" fillId="0" borderId="11" xfId="2" applyBorder="1" applyAlignment="1">
      <alignment horizontal="center" vertical="center" wrapText="1"/>
    </xf>
    <xf numFmtId="44" fontId="8" fillId="0" borderId="40" xfId="3" applyFont="1" applyFill="1" applyBorder="1" applyAlignment="1">
      <alignment horizontal="center" vertical="center"/>
    </xf>
    <xf numFmtId="44" fontId="8" fillId="0" borderId="0" xfId="3" applyFont="1" applyFill="1" applyBorder="1" applyAlignment="1">
      <alignment horizontal="center" vertical="center"/>
    </xf>
    <xf numFmtId="2" fontId="8" fillId="0" borderId="28" xfId="3" applyNumberFormat="1" applyFont="1" applyFill="1" applyBorder="1" applyAlignment="1">
      <alignment horizontal="center" vertical="center"/>
    </xf>
    <xf numFmtId="44" fontId="8" fillId="0" borderId="19" xfId="3" applyFont="1" applyFill="1" applyBorder="1" applyAlignment="1">
      <alignment horizontal="center" vertical="center"/>
    </xf>
    <xf numFmtId="0" fontId="4" fillId="0" borderId="19" xfId="2" applyBorder="1" applyAlignment="1">
      <alignment horizontal="center" vertical="center" wrapText="1"/>
    </xf>
    <xf numFmtId="44" fontId="8" fillId="0" borderId="19" xfId="3" applyFont="1" applyFill="1" applyBorder="1" applyAlignment="1">
      <alignment horizontal="center" vertical="center"/>
    </xf>
    <xf numFmtId="2" fontId="8" fillId="0" borderId="17" xfId="3" applyNumberFormat="1" applyFont="1" applyFill="1" applyBorder="1" applyAlignment="1">
      <alignment horizontal="center" vertical="center"/>
    </xf>
    <xf numFmtId="2" fontId="8" fillId="0" borderId="36" xfId="3" applyNumberFormat="1" applyFont="1" applyFill="1" applyBorder="1" applyAlignment="1">
      <alignment horizontal="center" vertical="center"/>
    </xf>
    <xf numFmtId="2" fontId="8" fillId="0" borderId="35" xfId="3" applyNumberFormat="1" applyFont="1" applyFill="1" applyBorder="1" applyAlignment="1">
      <alignment horizontal="center" vertical="center"/>
    </xf>
    <xf numFmtId="44" fontId="8" fillId="0" borderId="41" xfId="3" applyFont="1" applyFill="1" applyBorder="1" applyAlignment="1">
      <alignment horizontal="center" vertical="center"/>
    </xf>
    <xf numFmtId="44" fontId="8" fillId="0" borderId="42" xfId="3" applyFont="1" applyFill="1" applyBorder="1" applyAlignment="1">
      <alignment horizontal="center" vertical="center"/>
    </xf>
    <xf numFmtId="2" fontId="8" fillId="0" borderId="25" xfId="3" applyNumberFormat="1" applyFont="1" applyFill="1" applyBorder="1" applyAlignment="1">
      <alignment horizontal="center" vertical="center"/>
    </xf>
    <xf numFmtId="44" fontId="8" fillId="0" borderId="21" xfId="3" applyFont="1" applyFill="1" applyBorder="1" applyAlignment="1">
      <alignment horizontal="center" vertical="center"/>
    </xf>
    <xf numFmtId="0" fontId="4" fillId="0" borderId="21" xfId="2" applyBorder="1" applyAlignment="1">
      <alignment horizontal="center" vertical="center" wrapText="1"/>
    </xf>
    <xf numFmtId="44" fontId="0" fillId="0" borderId="43" xfId="3" applyFont="1" applyBorder="1" applyAlignment="1">
      <alignment horizontal="center"/>
    </xf>
    <xf numFmtId="44" fontId="8" fillId="0" borderId="44" xfId="3" applyFont="1" applyFill="1" applyBorder="1" applyAlignment="1">
      <alignment vertical="center"/>
    </xf>
    <xf numFmtId="44" fontId="8" fillId="0" borderId="45" xfId="3" applyFont="1" applyFill="1" applyBorder="1" applyAlignment="1">
      <alignment horizontal="center" vertical="center"/>
    </xf>
    <xf numFmtId="2" fontId="8" fillId="0" borderId="46" xfId="3" applyNumberFormat="1" applyFont="1" applyFill="1" applyBorder="1" applyAlignment="1">
      <alignment horizontal="center" vertical="center"/>
    </xf>
    <xf numFmtId="44" fontId="8" fillId="0" borderId="47" xfId="3" applyFont="1" applyFill="1" applyBorder="1" applyAlignment="1">
      <alignment vertical="center"/>
    </xf>
    <xf numFmtId="10" fontId="0" fillId="0" borderId="44" xfId="4" applyNumberFormat="1" applyFont="1" applyBorder="1" applyAlignment="1">
      <alignment horizontal="center" vertical="center"/>
    </xf>
    <xf numFmtId="44" fontId="0" fillId="0" borderId="45" xfId="3" applyFont="1" applyBorder="1" applyAlignment="1">
      <alignment horizontal="center" vertical="center"/>
    </xf>
    <xf numFmtId="10" fontId="0" fillId="0" borderId="45" xfId="4" applyNumberFormat="1" applyFont="1" applyBorder="1" applyAlignment="1">
      <alignment horizontal="center" vertical="center"/>
    </xf>
    <xf numFmtId="44" fontId="4" fillId="0" borderId="45" xfId="2" applyNumberFormat="1" applyBorder="1" applyAlignment="1">
      <alignment horizontal="center" vertical="center"/>
    </xf>
    <xf numFmtId="2" fontId="4" fillId="0" borderId="45" xfId="2" applyNumberFormat="1" applyBorder="1" applyAlignment="1">
      <alignment horizontal="center" vertical="center"/>
    </xf>
    <xf numFmtId="0" fontId="4" fillId="0" borderId="45" xfId="2" applyBorder="1" applyAlignment="1">
      <alignment horizontal="center" vertical="center"/>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11" xfId="2" applyBorder="1" applyAlignment="1">
      <alignment horizontal="center" vertical="center"/>
    </xf>
    <xf numFmtId="44" fontId="0" fillId="0" borderId="48" xfId="3" applyFont="1" applyBorder="1" applyAlignment="1">
      <alignment horizontal="center"/>
    </xf>
    <xf numFmtId="44" fontId="0" fillId="0" borderId="49" xfId="3" applyFont="1" applyBorder="1" applyAlignment="1">
      <alignment horizontal="center"/>
    </xf>
    <xf numFmtId="44" fontId="0" fillId="0" borderId="30" xfId="3" applyFont="1" applyBorder="1" applyAlignment="1">
      <alignment horizontal="center"/>
    </xf>
    <xf numFmtId="2" fontId="4" fillId="0" borderId="48" xfId="2" applyNumberFormat="1" applyBorder="1" applyAlignment="1">
      <alignment horizontal="center"/>
    </xf>
    <xf numFmtId="44" fontId="4" fillId="0" borderId="11" xfId="2" applyNumberFormat="1" applyBorder="1" applyAlignment="1">
      <alignment horizontal="center" vertical="center"/>
    </xf>
    <xf numFmtId="2" fontId="4" fillId="0" borderId="11" xfId="2" applyNumberFormat="1" applyBorder="1" applyAlignment="1">
      <alignment horizontal="center" vertical="center"/>
    </xf>
    <xf numFmtId="0" fontId="4" fillId="0" borderId="11" xfId="2" applyBorder="1" applyAlignment="1">
      <alignment horizontal="center" vertical="center" wrapText="1"/>
    </xf>
    <xf numFmtId="2" fontId="8" fillId="0" borderId="31" xfId="3" applyNumberFormat="1" applyFont="1" applyFill="1" applyBorder="1" applyAlignment="1">
      <alignment horizontal="center" vertical="center"/>
    </xf>
    <xf numFmtId="44" fontId="8" fillId="0" borderId="30" xfId="3" applyFont="1" applyFill="1" applyBorder="1" applyAlignment="1">
      <alignment horizontal="center" vertical="center"/>
    </xf>
    <xf numFmtId="2" fontId="4" fillId="0" borderId="28" xfId="2" applyNumberFormat="1" applyBorder="1" applyAlignment="1">
      <alignment horizontal="center"/>
    </xf>
    <xf numFmtId="44" fontId="8" fillId="4" borderId="5" xfId="3" applyFont="1" applyFill="1" applyBorder="1" applyAlignment="1">
      <alignment horizontal="center" vertical="center"/>
    </xf>
    <xf numFmtId="44" fontId="8" fillId="4" borderId="6" xfId="3" applyFont="1" applyFill="1" applyBorder="1" applyAlignment="1">
      <alignment horizontal="center" vertical="center"/>
    </xf>
    <xf numFmtId="2" fontId="8" fillId="4" borderId="7" xfId="3" applyNumberFormat="1" applyFont="1" applyFill="1" applyBorder="1" applyAlignment="1">
      <alignment horizontal="center" vertical="center"/>
    </xf>
    <xf numFmtId="44" fontId="8" fillId="4" borderId="8" xfId="3" applyFont="1" applyFill="1" applyBorder="1" applyAlignment="1">
      <alignment horizontal="center" vertical="center"/>
    </xf>
    <xf numFmtId="44" fontId="0" fillId="4" borderId="17" xfId="3" applyFont="1" applyFill="1" applyBorder="1" applyAlignment="1">
      <alignment horizontal="center" vertical="center"/>
    </xf>
    <xf numFmtId="44" fontId="0" fillId="4" borderId="18" xfId="3" applyFont="1" applyFill="1" applyBorder="1" applyAlignment="1">
      <alignment horizontal="center" vertical="center"/>
    </xf>
    <xf numFmtId="44" fontId="0" fillId="4" borderId="16" xfId="3" applyFont="1" applyFill="1" applyBorder="1" applyAlignment="1">
      <alignment horizontal="center" vertical="center"/>
    </xf>
    <xf numFmtId="2" fontId="4" fillId="4" borderId="17" xfId="2" applyNumberFormat="1" applyFill="1" applyBorder="1" applyAlignment="1">
      <alignment horizontal="center" vertical="center"/>
    </xf>
    <xf numFmtId="10" fontId="0" fillId="4" borderId="5" xfId="4" applyNumberFormat="1" applyFont="1" applyFill="1" applyBorder="1" applyAlignment="1">
      <alignment horizontal="center" vertical="center"/>
    </xf>
    <xf numFmtId="44" fontId="4" fillId="4" borderId="11" xfId="2" applyNumberFormat="1" applyFill="1" applyBorder="1" applyAlignment="1">
      <alignment horizontal="center" vertical="center"/>
    </xf>
    <xf numFmtId="10" fontId="0" fillId="4" borderId="6" xfId="4" applyNumberFormat="1" applyFont="1" applyFill="1" applyBorder="1" applyAlignment="1">
      <alignment horizontal="center" vertical="center"/>
    </xf>
    <xf numFmtId="44" fontId="0" fillId="4" borderId="6" xfId="3" applyFont="1" applyFill="1" applyBorder="1" applyAlignment="1">
      <alignment horizontal="center" vertical="center"/>
    </xf>
    <xf numFmtId="44" fontId="4" fillId="4" borderId="6" xfId="2" applyNumberFormat="1" applyFill="1" applyBorder="1" applyAlignment="1">
      <alignment horizontal="center" vertical="center"/>
    </xf>
    <xf numFmtId="2" fontId="4" fillId="4" borderId="6" xfId="2" applyNumberFormat="1" applyFill="1" applyBorder="1" applyAlignment="1">
      <alignment horizontal="center" vertical="center"/>
    </xf>
    <xf numFmtId="0" fontId="4" fillId="4" borderId="6" xfId="2" applyFill="1" applyBorder="1" applyAlignment="1">
      <alignment horizontal="center" vertical="center"/>
    </xf>
    <xf numFmtId="0" fontId="4" fillId="4" borderId="6" xfId="2" applyFill="1" applyBorder="1" applyAlignment="1">
      <alignment horizontal="center" vertical="center" wrapText="1"/>
    </xf>
    <xf numFmtId="0" fontId="4" fillId="4" borderId="6" xfId="2" applyFill="1" applyBorder="1" applyAlignment="1">
      <alignment horizontal="center" vertical="center" wrapText="1"/>
    </xf>
    <xf numFmtId="0" fontId="4" fillId="4" borderId="7" xfId="2" applyFill="1" applyBorder="1" applyAlignment="1">
      <alignment horizontal="center" vertical="center"/>
    </xf>
    <xf numFmtId="44" fontId="8" fillId="4" borderId="12" xfId="3" applyFont="1" applyFill="1" applyBorder="1" applyAlignment="1">
      <alignment horizontal="center" vertical="center"/>
    </xf>
    <xf numFmtId="44" fontId="8" fillId="4" borderId="13" xfId="3" applyFont="1" applyFill="1" applyBorder="1" applyAlignment="1">
      <alignment horizontal="center" vertical="center"/>
    </xf>
    <xf numFmtId="2" fontId="8" fillId="4" borderId="27" xfId="3" applyNumberFormat="1" applyFont="1" applyFill="1" applyBorder="1" applyAlignment="1">
      <alignment horizontal="center" vertical="center"/>
    </xf>
    <xf numFmtId="44" fontId="8" fillId="4" borderId="15" xfId="3" applyFont="1" applyFill="1" applyBorder="1" applyAlignment="1">
      <alignment horizontal="center" vertical="center"/>
    </xf>
    <xf numFmtId="10" fontId="0" fillId="4" borderId="12" xfId="4" applyNumberFormat="1" applyFont="1" applyFill="1" applyBorder="1" applyAlignment="1">
      <alignment horizontal="center" vertical="center"/>
    </xf>
    <xf numFmtId="44" fontId="4" fillId="4" borderId="19" xfId="2" applyNumberFormat="1" applyFill="1" applyBorder="1" applyAlignment="1">
      <alignment horizontal="center" vertical="center"/>
    </xf>
    <xf numFmtId="10" fontId="0" fillId="4" borderId="16" xfId="4" applyNumberFormat="1" applyFont="1" applyFill="1" applyBorder="1" applyAlignment="1">
      <alignment horizontal="center" vertical="center"/>
    </xf>
    <xf numFmtId="44" fontId="4" fillId="4" borderId="16" xfId="2" applyNumberFormat="1" applyFill="1" applyBorder="1" applyAlignment="1">
      <alignment horizontal="center" vertical="center"/>
    </xf>
    <xf numFmtId="2" fontId="4" fillId="4" borderId="16" xfId="2" applyNumberFormat="1" applyFill="1" applyBorder="1" applyAlignment="1">
      <alignment horizontal="center" vertical="center"/>
    </xf>
    <xf numFmtId="0" fontId="4" fillId="4" borderId="16" xfId="2" applyFill="1" applyBorder="1" applyAlignment="1">
      <alignment horizontal="center" vertical="center"/>
    </xf>
    <xf numFmtId="0" fontId="4" fillId="4" borderId="16" xfId="2" applyFill="1" applyBorder="1" applyAlignment="1">
      <alignment horizontal="center" vertical="center" wrapText="1"/>
    </xf>
    <xf numFmtId="0" fontId="4" fillId="4" borderId="16" xfId="2" applyFill="1" applyBorder="1" applyAlignment="1">
      <alignment horizontal="center" vertical="center" wrapText="1"/>
    </xf>
    <xf numFmtId="0" fontId="4" fillId="4" borderId="14" xfId="2" applyFill="1" applyBorder="1" applyAlignment="1">
      <alignment horizontal="center" vertical="center"/>
    </xf>
    <xf numFmtId="2" fontId="8" fillId="4" borderId="14" xfId="3" applyNumberFormat="1" applyFont="1" applyFill="1" applyBorder="1" applyAlignment="1">
      <alignment horizontal="center" vertical="center"/>
    </xf>
    <xf numFmtId="44" fontId="8" fillId="4" borderId="16" xfId="3" applyFont="1" applyFill="1" applyBorder="1" applyAlignment="1">
      <alignment horizontal="center" vertical="center"/>
    </xf>
    <xf numFmtId="44" fontId="8" fillId="4" borderId="20" xfId="3" applyFont="1" applyFill="1" applyBorder="1" applyAlignment="1">
      <alignment horizontal="center" vertical="center"/>
    </xf>
    <xf numFmtId="44" fontId="8" fillId="4" borderId="21" xfId="3" applyFont="1" applyFill="1" applyBorder="1" applyAlignment="1">
      <alignment horizontal="center" vertical="center"/>
    </xf>
    <xf numFmtId="2" fontId="8" fillId="4" borderId="22" xfId="3" applyNumberFormat="1" applyFont="1" applyFill="1" applyBorder="1" applyAlignment="1">
      <alignment horizontal="center" vertical="center"/>
    </xf>
    <xf numFmtId="44" fontId="8" fillId="4" borderId="23" xfId="3" applyFont="1" applyFill="1" applyBorder="1" applyAlignment="1">
      <alignment horizontal="center" vertical="center"/>
    </xf>
    <xf numFmtId="44" fontId="8" fillId="4" borderId="24" xfId="3" applyFont="1" applyFill="1" applyBorder="1" applyAlignment="1">
      <alignment horizontal="center" vertical="center"/>
    </xf>
    <xf numFmtId="44" fontId="0" fillId="4" borderId="28" xfId="3" applyFont="1" applyFill="1" applyBorder="1" applyAlignment="1">
      <alignment horizontal="center"/>
    </xf>
    <xf numFmtId="44" fontId="0" fillId="4" borderId="29" xfId="3" applyFont="1" applyFill="1" applyBorder="1" applyAlignment="1">
      <alignment horizontal="center"/>
    </xf>
    <xf numFmtId="44" fontId="0" fillId="4" borderId="13" xfId="3" applyFont="1" applyFill="1" applyBorder="1" applyAlignment="1">
      <alignment horizontal="center"/>
    </xf>
    <xf numFmtId="2" fontId="4" fillId="4" borderId="28" xfId="2" applyNumberFormat="1" applyFill="1" applyBorder="1" applyAlignment="1">
      <alignment horizontal="center"/>
    </xf>
    <xf numFmtId="10" fontId="0" fillId="4" borderId="20" xfId="4" applyNumberFormat="1" applyFont="1" applyFill="1" applyBorder="1" applyAlignment="1">
      <alignment horizontal="center" vertical="center"/>
    </xf>
    <xf numFmtId="44" fontId="4" fillId="4" borderId="21" xfId="2" applyNumberFormat="1" applyFill="1" applyBorder="1" applyAlignment="1">
      <alignment horizontal="center" vertical="center"/>
    </xf>
    <xf numFmtId="10" fontId="0" fillId="4" borderId="24" xfId="4" applyNumberFormat="1" applyFont="1" applyFill="1" applyBorder="1" applyAlignment="1">
      <alignment horizontal="center" vertical="center"/>
    </xf>
    <xf numFmtId="44" fontId="0" fillId="4" borderId="24" xfId="3" applyFont="1" applyFill="1" applyBorder="1" applyAlignment="1">
      <alignment horizontal="center" vertical="center"/>
    </xf>
    <xf numFmtId="44" fontId="4" fillId="4" borderId="21" xfId="2" applyNumberFormat="1" applyFill="1" applyBorder="1" applyAlignment="1">
      <alignment horizontal="center" vertical="center"/>
    </xf>
    <xf numFmtId="2" fontId="4" fillId="4" borderId="21" xfId="2" applyNumberFormat="1" applyFill="1" applyBorder="1" applyAlignment="1">
      <alignment horizontal="center" vertical="center"/>
    </xf>
    <xf numFmtId="0" fontId="4" fillId="4" borderId="21" xfId="2" applyFill="1" applyBorder="1" applyAlignment="1">
      <alignment horizontal="center" vertical="center"/>
    </xf>
    <xf numFmtId="0" fontId="4" fillId="4" borderId="21" xfId="2" applyFill="1" applyBorder="1" applyAlignment="1">
      <alignment horizontal="center" vertical="center" wrapText="1"/>
    </xf>
    <xf numFmtId="0" fontId="4" fillId="4" borderId="24" xfId="2" applyFill="1" applyBorder="1" applyAlignment="1">
      <alignment horizontal="center" vertical="center"/>
    </xf>
    <xf numFmtId="0" fontId="4" fillId="4" borderId="24" xfId="2" applyFill="1" applyBorder="1" applyAlignment="1">
      <alignment horizontal="center" vertical="center" wrapText="1"/>
    </xf>
    <xf numFmtId="0" fontId="4" fillId="4" borderId="22" xfId="2" applyFill="1" applyBorder="1" applyAlignment="1">
      <alignment horizontal="center" vertical="center"/>
    </xf>
    <xf numFmtId="0" fontId="5" fillId="4" borderId="22" xfId="2" applyFont="1" applyFill="1" applyBorder="1" applyAlignment="1">
      <alignment horizontal="center" vertical="center"/>
    </xf>
    <xf numFmtId="44" fontId="0" fillId="4" borderId="17" xfId="3" applyFont="1" applyFill="1" applyBorder="1" applyAlignment="1">
      <alignment horizontal="center"/>
    </xf>
    <xf numFmtId="44" fontId="0" fillId="4" borderId="18" xfId="3" applyFont="1" applyFill="1" applyBorder="1" applyAlignment="1">
      <alignment horizontal="center"/>
    </xf>
    <xf numFmtId="44" fontId="0" fillId="4" borderId="16" xfId="3" applyFont="1" applyFill="1" applyBorder="1" applyAlignment="1">
      <alignment horizontal="center"/>
    </xf>
    <xf numFmtId="2" fontId="4" fillId="4" borderId="17" xfId="2" applyNumberFormat="1" applyFill="1" applyBorder="1" applyAlignment="1">
      <alignment horizontal="center"/>
    </xf>
    <xf numFmtId="0" fontId="4" fillId="4" borderId="11" xfId="2" applyFill="1" applyBorder="1" applyAlignment="1">
      <alignment horizontal="center" vertical="center" wrapText="1"/>
    </xf>
    <xf numFmtId="0" fontId="4" fillId="4" borderId="34" xfId="2" applyFill="1" applyBorder="1" applyAlignment="1">
      <alignment horizontal="center" vertical="center" wrapText="1"/>
    </xf>
    <xf numFmtId="0" fontId="4" fillId="4" borderId="19" xfId="2" applyFill="1" applyBorder="1" applyAlignment="1">
      <alignment horizontal="center" vertical="center" wrapText="1"/>
    </xf>
    <xf numFmtId="0" fontId="4" fillId="4" borderId="36" xfId="2" applyFill="1" applyBorder="1" applyAlignment="1">
      <alignment horizontal="center" vertical="center" wrapText="1"/>
    </xf>
    <xf numFmtId="44" fontId="4" fillId="4" borderId="24" xfId="2" applyNumberFormat="1" applyFill="1" applyBorder="1" applyAlignment="1">
      <alignment horizontal="center" vertical="center"/>
    </xf>
    <xf numFmtId="2" fontId="4" fillId="4" borderId="24" xfId="2" applyNumberFormat="1" applyFill="1" applyBorder="1" applyAlignment="1">
      <alignment horizontal="center" vertical="center"/>
    </xf>
    <xf numFmtId="0" fontId="4" fillId="4" borderId="24" xfId="2" applyFill="1" applyBorder="1" applyAlignment="1">
      <alignment horizontal="center" vertical="center" wrapText="1"/>
    </xf>
    <xf numFmtId="0" fontId="4" fillId="4" borderId="21" xfId="2" applyFill="1" applyBorder="1" applyAlignment="1">
      <alignment horizontal="center" vertical="center" wrapText="1"/>
    </xf>
    <xf numFmtId="0" fontId="4" fillId="4" borderId="32" xfId="2" applyFill="1" applyBorder="1" applyAlignment="1">
      <alignment horizontal="center" vertical="center" wrapText="1"/>
    </xf>
    <xf numFmtId="44" fontId="0" fillId="4" borderId="50" xfId="3" applyFont="1" applyFill="1" applyBorder="1" applyAlignment="1">
      <alignment horizontal="center"/>
    </xf>
    <xf numFmtId="44" fontId="0" fillId="4" borderId="10" xfId="3" applyFont="1" applyFill="1" applyBorder="1" applyAlignment="1">
      <alignment horizontal="center"/>
    </xf>
    <xf numFmtId="44" fontId="0" fillId="4" borderId="6" xfId="3" applyFont="1" applyFill="1" applyBorder="1" applyAlignment="1">
      <alignment horizontal="center"/>
    </xf>
    <xf numFmtId="2" fontId="4" fillId="4" borderId="9" xfId="2" applyNumberFormat="1" applyFill="1" applyBorder="1" applyAlignment="1">
      <alignment horizontal="center"/>
    </xf>
    <xf numFmtId="44" fontId="0" fillId="4" borderId="51" xfId="3" applyFont="1" applyFill="1" applyBorder="1" applyAlignment="1">
      <alignment horizontal="center"/>
    </xf>
    <xf numFmtId="44" fontId="0" fillId="4" borderId="52" xfId="3" applyFont="1" applyFill="1" applyBorder="1" applyAlignment="1">
      <alignment horizontal="center"/>
    </xf>
    <xf numFmtId="44" fontId="0" fillId="4" borderId="26" xfId="3" applyFont="1" applyFill="1" applyBorder="1" applyAlignment="1">
      <alignment horizontal="center"/>
    </xf>
    <xf numFmtId="44" fontId="0" fillId="4" borderId="24" xfId="3" applyFont="1" applyFill="1" applyBorder="1" applyAlignment="1">
      <alignment horizontal="center"/>
    </xf>
    <xf numFmtId="2" fontId="4" fillId="4" borderId="25" xfId="2" applyNumberFormat="1" applyFill="1" applyBorder="1" applyAlignment="1">
      <alignment horizontal="center"/>
    </xf>
    <xf numFmtId="0" fontId="4" fillId="4" borderId="7" xfId="2" applyFill="1" applyBorder="1" applyAlignment="1">
      <alignment horizontal="center" vertical="center" wrapText="1"/>
    </xf>
    <xf numFmtId="0" fontId="4" fillId="4" borderId="14" xfId="2" applyFill="1" applyBorder="1" applyAlignment="1">
      <alignment horizontal="center" vertical="center" wrapText="1"/>
    </xf>
    <xf numFmtId="0" fontId="4" fillId="4" borderId="22" xfId="2" applyFill="1" applyBorder="1" applyAlignment="1">
      <alignment horizontal="center" vertical="center" wrapText="1"/>
    </xf>
    <xf numFmtId="44" fontId="0" fillId="0" borderId="50" xfId="3" applyFont="1" applyBorder="1" applyAlignment="1">
      <alignment horizontal="center"/>
    </xf>
    <xf numFmtId="44" fontId="0" fillId="0" borderId="52" xfId="3" applyFont="1" applyBorder="1" applyAlignment="1">
      <alignment horizontal="center"/>
    </xf>
    <xf numFmtId="44" fontId="8" fillId="0" borderId="29" xfId="3" applyFont="1" applyFill="1" applyBorder="1" applyAlignment="1">
      <alignment horizontal="center" vertical="center"/>
    </xf>
    <xf numFmtId="44" fontId="0" fillId="0" borderId="51" xfId="3" applyFont="1" applyBorder="1" applyAlignment="1">
      <alignment horizontal="center"/>
    </xf>
    <xf numFmtId="44" fontId="0" fillId="0" borderId="53" xfId="3" applyFont="1" applyBorder="1" applyAlignment="1">
      <alignment horizontal="center"/>
    </xf>
    <xf numFmtId="10" fontId="0" fillId="0" borderId="10" xfId="4" applyNumberFormat="1" applyFont="1" applyFill="1" applyBorder="1" applyAlignment="1">
      <alignment horizontal="center" vertical="center"/>
    </xf>
    <xf numFmtId="44" fontId="0" fillId="0" borderId="6" xfId="3" applyFont="1" applyFill="1" applyBorder="1" applyAlignment="1">
      <alignment horizontal="center" vertical="center"/>
    </xf>
    <xf numFmtId="10" fontId="0" fillId="0" borderId="6" xfId="4" applyNumberFormat="1" applyFont="1" applyFill="1" applyBorder="1" applyAlignment="1">
      <alignment horizontal="center" vertical="center"/>
    </xf>
    <xf numFmtId="44" fontId="0" fillId="0" borderId="6" xfId="3" applyFont="1" applyFill="1" applyBorder="1" applyAlignment="1">
      <alignment horizontal="center" vertical="center"/>
    </xf>
    <xf numFmtId="44" fontId="0" fillId="0" borderId="54" xfId="3" applyFont="1" applyBorder="1" applyAlignment="1">
      <alignment horizontal="center"/>
    </xf>
    <xf numFmtId="10" fontId="0" fillId="0" borderId="49" xfId="4" applyNumberFormat="1" applyFont="1" applyFill="1" applyBorder="1" applyAlignment="1">
      <alignment horizontal="center" vertical="center"/>
    </xf>
    <xf numFmtId="44" fontId="0" fillId="0" borderId="30" xfId="3" applyFont="1" applyFill="1" applyBorder="1" applyAlignment="1">
      <alignment horizontal="center" vertical="center"/>
    </xf>
    <xf numFmtId="10" fontId="0" fillId="0" borderId="30" xfId="4" applyNumberFormat="1" applyFont="1" applyFill="1" applyBorder="1" applyAlignment="1">
      <alignment horizontal="center" vertical="center"/>
    </xf>
    <xf numFmtId="44" fontId="0" fillId="0" borderId="30" xfId="3" applyFont="1" applyFill="1" applyBorder="1" applyAlignment="1">
      <alignment horizontal="center" vertical="center"/>
    </xf>
    <xf numFmtId="0" fontId="4" fillId="0" borderId="30" xfId="2" applyBorder="1" applyAlignment="1">
      <alignment horizontal="center" vertical="center"/>
    </xf>
    <xf numFmtId="44" fontId="8" fillId="4" borderId="10" xfId="3" applyFont="1" applyFill="1" applyBorder="1" applyAlignment="1">
      <alignment horizontal="center" vertical="center"/>
    </xf>
    <xf numFmtId="10" fontId="0" fillId="4" borderId="10" xfId="4" applyNumberFormat="1" applyFont="1" applyFill="1" applyBorder="1" applyAlignment="1">
      <alignment horizontal="center" vertical="center"/>
    </xf>
    <xf numFmtId="0" fontId="4" fillId="4" borderId="6" xfId="2" applyFill="1" applyBorder="1" applyAlignment="1">
      <alignment horizontal="center" vertical="center"/>
    </xf>
    <xf numFmtId="44" fontId="4" fillId="4" borderId="11" xfId="2" applyNumberFormat="1" applyFill="1" applyBorder="1" applyAlignment="1">
      <alignment horizontal="center" vertical="center"/>
    </xf>
    <xf numFmtId="2" fontId="4" fillId="4" borderId="11" xfId="2" applyNumberFormat="1" applyFill="1" applyBorder="1" applyAlignment="1">
      <alignment horizontal="center" vertical="center"/>
    </xf>
    <xf numFmtId="44" fontId="8" fillId="4" borderId="18" xfId="3" applyFont="1" applyFill="1" applyBorder="1" applyAlignment="1">
      <alignment horizontal="center" vertical="center"/>
    </xf>
    <xf numFmtId="10" fontId="0" fillId="4" borderId="18" xfId="4" applyNumberFormat="1" applyFont="1" applyFill="1" applyBorder="1" applyAlignment="1">
      <alignment horizontal="center" vertical="center"/>
    </xf>
    <xf numFmtId="0" fontId="4" fillId="4" borderId="16" xfId="2" applyFill="1" applyBorder="1" applyAlignment="1">
      <alignment horizontal="center" vertical="center"/>
    </xf>
    <xf numFmtId="44" fontId="4" fillId="4" borderId="30" xfId="2" applyNumberFormat="1" applyFill="1" applyBorder="1" applyAlignment="1">
      <alignment horizontal="center" vertical="center"/>
    </xf>
    <xf numFmtId="2" fontId="4" fillId="4" borderId="30" xfId="2" applyNumberFormat="1" applyFill="1" applyBorder="1" applyAlignment="1">
      <alignment horizontal="center" vertical="center"/>
    </xf>
    <xf numFmtId="0" fontId="5" fillId="4" borderId="16" xfId="2" applyFont="1" applyFill="1" applyBorder="1" applyAlignment="1">
      <alignment horizontal="center" vertical="center"/>
    </xf>
    <xf numFmtId="44" fontId="8" fillId="4" borderId="26" xfId="3" applyFont="1" applyFill="1" applyBorder="1" applyAlignment="1">
      <alignment horizontal="center" vertical="center"/>
    </xf>
    <xf numFmtId="44" fontId="0" fillId="0" borderId="55" xfId="3" applyFont="1" applyBorder="1" applyAlignment="1">
      <alignment horizontal="center"/>
    </xf>
    <xf numFmtId="10" fontId="0" fillId="4" borderId="26" xfId="4" applyNumberFormat="1" applyFont="1" applyFill="1" applyBorder="1" applyAlignment="1">
      <alignment horizontal="center" vertical="center"/>
    </xf>
    <xf numFmtId="44" fontId="4" fillId="4" borderId="24" xfId="2" applyNumberFormat="1" applyFill="1" applyBorder="1" applyAlignment="1">
      <alignment horizontal="center" vertical="center"/>
    </xf>
    <xf numFmtId="0" fontId="9" fillId="5" borderId="20" xfId="2" applyFont="1" applyFill="1" applyBorder="1" applyAlignment="1">
      <alignment horizontal="center" vertical="center" wrapText="1"/>
    </xf>
    <xf numFmtId="0" fontId="9" fillId="5" borderId="23" xfId="2" applyFont="1" applyFill="1" applyBorder="1" applyAlignment="1">
      <alignment horizontal="center" vertical="center" wrapText="1"/>
    </xf>
    <xf numFmtId="0" fontId="9" fillId="5" borderId="32" xfId="2" applyFont="1" applyFill="1" applyBorder="1" applyAlignment="1">
      <alignment horizontal="center" vertical="center" wrapText="1"/>
    </xf>
    <xf numFmtId="0" fontId="9" fillId="5" borderId="21" xfId="2" applyFont="1" applyFill="1" applyBorder="1" applyAlignment="1">
      <alignment horizontal="center" vertical="center" wrapText="1"/>
    </xf>
    <xf numFmtId="0" fontId="9" fillId="5" borderId="32" xfId="2" applyFont="1" applyFill="1" applyBorder="1" applyAlignment="1" applyProtection="1">
      <alignment horizontal="center" vertical="center" wrapText="1"/>
      <protection locked="0"/>
    </xf>
    <xf numFmtId="44" fontId="10" fillId="5" borderId="53" xfId="3" applyFont="1" applyFill="1" applyBorder="1" applyAlignment="1">
      <alignment horizontal="center" vertical="center"/>
    </xf>
    <xf numFmtId="44" fontId="11" fillId="5" borderId="10" xfId="3" applyFont="1" applyFill="1" applyBorder="1" applyAlignment="1">
      <alignment horizontal="center" vertical="center"/>
    </xf>
    <xf numFmtId="44" fontId="11" fillId="5" borderId="6" xfId="3" applyFont="1" applyFill="1" applyBorder="1" applyAlignment="1">
      <alignment horizontal="center" vertical="center"/>
    </xf>
    <xf numFmtId="2" fontId="11" fillId="5" borderId="6" xfId="2" applyNumberFormat="1" applyFont="1" applyFill="1" applyBorder="1" applyAlignment="1">
      <alignment horizontal="center" vertical="center"/>
    </xf>
    <xf numFmtId="44" fontId="11" fillId="5" borderId="11" xfId="3" applyFont="1" applyFill="1" applyBorder="1" applyAlignment="1">
      <alignment horizontal="center" vertical="center" wrapText="1"/>
    </xf>
    <xf numFmtId="2" fontId="11" fillId="5" borderId="11" xfId="2" applyNumberFormat="1" applyFont="1" applyFill="1" applyBorder="1" applyAlignment="1">
      <alignment horizontal="center" vertical="center" wrapText="1"/>
    </xf>
    <xf numFmtId="44" fontId="11" fillId="5" borderId="11" xfId="2" applyNumberFormat="1" applyFont="1" applyFill="1" applyBorder="1" applyAlignment="1">
      <alignment horizontal="center" vertical="center" wrapText="1"/>
    </xf>
    <xf numFmtId="2" fontId="11" fillId="5" borderId="11" xfId="2" applyNumberFormat="1" applyFont="1" applyFill="1" applyBorder="1" applyAlignment="1">
      <alignment horizontal="center" vertical="center"/>
    </xf>
    <xf numFmtId="0" fontId="11" fillId="5" borderId="11" xfId="2" applyFont="1" applyFill="1" applyBorder="1" applyAlignment="1">
      <alignment horizontal="center" vertical="center"/>
    </xf>
    <xf numFmtId="0" fontId="11" fillId="5" borderId="11" xfId="2" applyFont="1" applyFill="1" applyBorder="1" applyAlignment="1">
      <alignment horizontal="center" vertical="center" wrapText="1"/>
    </xf>
    <xf numFmtId="0" fontId="11" fillId="5" borderId="34" xfId="2" applyFont="1" applyFill="1" applyBorder="1" applyAlignment="1">
      <alignment horizontal="center" vertical="center"/>
    </xf>
    <xf numFmtId="10" fontId="9" fillId="6" borderId="10" xfId="4" applyNumberFormat="1" applyFont="1" applyFill="1" applyBorder="1" applyAlignment="1">
      <alignment horizontal="center" vertical="center"/>
    </xf>
    <xf numFmtId="10" fontId="9" fillId="6" borderId="6" xfId="4" applyNumberFormat="1" applyFont="1" applyFill="1" applyBorder="1" applyAlignment="1">
      <alignment horizontal="center" vertical="center"/>
    </xf>
    <xf numFmtId="164" fontId="9" fillId="6" borderId="6" xfId="3" applyNumberFormat="1" applyFont="1" applyFill="1" applyBorder="1" applyAlignment="1">
      <alignment horizontal="center" vertical="center"/>
    </xf>
    <xf numFmtId="9" fontId="9" fillId="6" borderId="7" xfId="4" applyFont="1" applyFill="1" applyBorder="1" applyAlignment="1">
      <alignment horizontal="center" vertical="center" wrapText="1"/>
    </xf>
    <xf numFmtId="44" fontId="10" fillId="6" borderId="43" xfId="3" applyFont="1" applyFill="1" applyBorder="1" applyAlignment="1">
      <alignment horizontal="center"/>
    </xf>
    <xf numFmtId="0" fontId="11" fillId="6" borderId="18" xfId="2" applyFont="1" applyFill="1" applyBorder="1"/>
    <xf numFmtId="0" fontId="11" fillId="6" borderId="16" xfId="2" applyFont="1" applyFill="1" applyBorder="1"/>
    <xf numFmtId="0" fontId="11" fillId="6" borderId="17" xfId="2" applyFont="1" applyFill="1" applyBorder="1"/>
    <xf numFmtId="44" fontId="11" fillId="6" borderId="5" xfId="3" applyFont="1" applyFill="1" applyBorder="1" applyAlignment="1">
      <alignment horizontal="center" vertical="center"/>
    </xf>
    <xf numFmtId="0" fontId="11" fillId="6" borderId="11" xfId="2" applyFont="1" applyFill="1" applyBorder="1" applyAlignment="1">
      <alignment horizontal="center" vertical="center"/>
    </xf>
    <xf numFmtId="0" fontId="11" fillId="6" borderId="45" xfId="2" applyFont="1" applyFill="1" applyBorder="1" applyAlignment="1">
      <alignment horizontal="center" vertical="center"/>
    </xf>
    <xf numFmtId="0" fontId="11" fillId="6" borderId="56" xfId="2" applyFont="1" applyFill="1" applyBorder="1" applyAlignment="1">
      <alignment horizontal="center" vertical="center"/>
    </xf>
    <xf numFmtId="0" fontId="11" fillId="6" borderId="46" xfId="2" applyFont="1" applyFill="1" applyBorder="1" applyAlignment="1">
      <alignment horizontal="center" vertical="center"/>
    </xf>
    <xf numFmtId="49" fontId="7" fillId="6" borderId="44" xfId="2" applyNumberFormat="1" applyFont="1" applyFill="1" applyBorder="1" applyAlignment="1">
      <alignment horizontal="left" vertical="center" wrapText="1"/>
    </xf>
    <xf numFmtId="49" fontId="7" fillId="6" borderId="45" xfId="2" applyNumberFormat="1" applyFont="1" applyFill="1" applyBorder="1" applyAlignment="1">
      <alignment horizontal="left" vertical="center" wrapText="1"/>
    </xf>
    <xf numFmtId="49" fontId="7" fillId="6" borderId="45" xfId="2" applyNumberFormat="1" applyFont="1" applyFill="1" applyBorder="1" applyAlignment="1">
      <alignment horizontal="center" vertical="center" wrapText="1"/>
    </xf>
    <xf numFmtId="49" fontId="7" fillId="6" borderId="46" xfId="2" applyNumberFormat="1" applyFont="1" applyFill="1" applyBorder="1" applyAlignment="1">
      <alignment horizontal="center" vertical="center" wrapText="1"/>
    </xf>
    <xf numFmtId="10" fontId="9" fillId="6" borderId="29" xfId="4" applyNumberFormat="1" applyFont="1" applyFill="1" applyBorder="1" applyAlignment="1">
      <alignment horizontal="center" vertical="center"/>
    </xf>
    <xf numFmtId="10" fontId="9" fillId="6" borderId="13" xfId="4" applyNumberFormat="1" applyFont="1" applyFill="1" applyBorder="1" applyAlignment="1">
      <alignment horizontal="center" vertical="center"/>
    </xf>
    <xf numFmtId="164" fontId="9" fillId="6" borderId="13" xfId="3" applyNumberFormat="1" applyFont="1" applyFill="1" applyBorder="1" applyAlignment="1">
      <alignment horizontal="center" vertical="center"/>
    </xf>
    <xf numFmtId="9" fontId="9" fillId="6" borderId="27" xfId="4" applyFont="1" applyFill="1" applyBorder="1" applyAlignment="1">
      <alignment horizontal="center" vertical="center" wrapText="1"/>
    </xf>
    <xf numFmtId="0" fontId="11" fillId="6" borderId="18" xfId="2" applyFont="1" applyFill="1" applyBorder="1" applyAlignment="1">
      <alignment horizontal="center" vertical="center"/>
    </xf>
    <xf numFmtId="0" fontId="11" fillId="6" borderId="16" xfId="2" applyFont="1" applyFill="1" applyBorder="1" applyAlignment="1">
      <alignment horizontal="center" vertical="center"/>
    </xf>
    <xf numFmtId="0" fontId="11" fillId="6" borderId="17" xfId="2" applyFont="1" applyFill="1" applyBorder="1" applyAlignment="1">
      <alignment horizontal="center" vertical="center"/>
    </xf>
    <xf numFmtId="49" fontId="7" fillId="6" borderId="44" xfId="2" applyNumberFormat="1" applyFont="1" applyFill="1" applyBorder="1" applyAlignment="1">
      <alignment vertical="center" wrapText="1"/>
    </xf>
    <xf numFmtId="49" fontId="7" fillId="6" borderId="46" xfId="2" applyNumberFormat="1" applyFont="1" applyFill="1" applyBorder="1" applyAlignment="1">
      <alignment vertical="center" wrapText="1"/>
    </xf>
    <xf numFmtId="49" fontId="7" fillId="6" borderId="23" xfId="2" applyNumberFormat="1" applyFont="1" applyFill="1" applyBorder="1" applyAlignment="1">
      <alignment horizontal="center" vertical="center" wrapText="1"/>
    </xf>
    <xf numFmtId="49" fontId="7" fillId="6" borderId="37" xfId="2" applyNumberFormat="1" applyFont="1" applyFill="1" applyBorder="1" applyAlignment="1">
      <alignment horizontal="center" vertical="center" wrapText="1"/>
    </xf>
    <xf numFmtId="49" fontId="7" fillId="6" borderId="42" xfId="2" applyNumberFormat="1" applyFont="1" applyFill="1" applyBorder="1" applyAlignment="1">
      <alignment horizontal="center" vertical="center" wrapText="1"/>
    </xf>
    <xf numFmtId="49" fontId="7" fillId="6" borderId="57" xfId="2" applyNumberFormat="1" applyFont="1" applyFill="1" applyBorder="1" applyAlignment="1">
      <alignment horizontal="center" vertical="center" wrapText="1"/>
    </xf>
    <xf numFmtId="49" fontId="7" fillId="6" borderId="44" xfId="2" applyNumberFormat="1" applyFont="1" applyFill="1" applyBorder="1" applyAlignment="1">
      <alignment vertical="center" wrapText="1"/>
    </xf>
    <xf numFmtId="49" fontId="7" fillId="6" borderId="45" xfId="2" applyNumberFormat="1" applyFont="1" applyFill="1" applyBorder="1" applyAlignment="1">
      <alignment vertical="center" wrapText="1"/>
    </xf>
    <xf numFmtId="10" fontId="9" fillId="6" borderId="18" xfId="4" applyNumberFormat="1" applyFont="1" applyFill="1" applyBorder="1" applyAlignment="1">
      <alignment horizontal="center" vertical="center"/>
    </xf>
    <xf numFmtId="10" fontId="9" fillId="6" borderId="16" xfId="4" applyNumberFormat="1" applyFont="1" applyFill="1" applyBorder="1" applyAlignment="1">
      <alignment horizontal="center" vertical="center"/>
    </xf>
    <xf numFmtId="164" fontId="9" fillId="6" borderId="16" xfId="3" applyNumberFormat="1" applyFont="1" applyFill="1" applyBorder="1" applyAlignment="1">
      <alignment horizontal="center" vertical="center"/>
    </xf>
    <xf numFmtId="9" fontId="9" fillId="6" borderId="14" xfId="4" applyFont="1" applyFill="1" applyBorder="1" applyAlignment="1">
      <alignment horizontal="center" vertical="center" wrapText="1"/>
    </xf>
    <xf numFmtId="49" fontId="7" fillId="6" borderId="35" xfId="2" applyNumberFormat="1" applyFont="1" applyFill="1" applyBorder="1" applyAlignment="1">
      <alignment horizontal="left" vertical="center" wrapText="1"/>
    </xf>
    <xf numFmtId="49" fontId="7" fillId="6" borderId="0" xfId="2" applyNumberFormat="1" applyFont="1" applyFill="1" applyAlignment="1">
      <alignment horizontal="left" vertical="center" wrapText="1"/>
    </xf>
    <xf numFmtId="49" fontId="7" fillId="6" borderId="58" xfId="2" applyNumberFormat="1" applyFont="1" applyFill="1" applyBorder="1" applyAlignment="1">
      <alignment horizontal="left" vertical="center" wrapText="1"/>
    </xf>
    <xf numFmtId="164" fontId="12" fillId="4" borderId="16" xfId="3" applyNumberFormat="1" applyFont="1" applyFill="1" applyBorder="1" applyAlignment="1">
      <alignment horizontal="center" vertical="center"/>
    </xf>
    <xf numFmtId="10" fontId="9" fillId="6" borderId="26" xfId="4" applyNumberFormat="1" applyFont="1" applyFill="1" applyBorder="1" applyAlignment="1">
      <alignment horizontal="center" vertical="center"/>
    </xf>
    <xf numFmtId="10" fontId="9" fillId="6" borderId="24" xfId="4" applyNumberFormat="1" applyFont="1" applyFill="1" applyBorder="1" applyAlignment="1">
      <alignment horizontal="center" vertical="center"/>
    </xf>
    <xf numFmtId="164" fontId="9" fillId="6" borderId="24" xfId="3" applyNumberFormat="1" applyFont="1" applyFill="1" applyBorder="1" applyAlignment="1">
      <alignment horizontal="center" vertical="center"/>
    </xf>
    <xf numFmtId="9" fontId="9" fillId="6" borderId="22" xfId="4" applyFont="1" applyFill="1" applyBorder="1" applyAlignment="1">
      <alignment horizontal="center" vertical="center" wrapText="1"/>
    </xf>
    <xf numFmtId="164" fontId="12" fillId="4" borderId="24" xfId="3" applyNumberFormat="1" applyFont="1" applyFill="1" applyBorder="1" applyAlignment="1">
      <alignment horizontal="center" vertical="center"/>
    </xf>
    <xf numFmtId="49" fontId="7" fillId="6" borderId="28" xfId="2" applyNumberFormat="1" applyFont="1" applyFill="1" applyBorder="1" applyAlignment="1">
      <alignment horizontal="left" vertical="center" wrapText="1"/>
    </xf>
    <xf numFmtId="49" fontId="7" fillId="6" borderId="59" xfId="2" applyNumberFormat="1" applyFont="1" applyFill="1" applyBorder="1" applyAlignment="1">
      <alignment horizontal="left" vertical="center" wrapText="1"/>
    </xf>
    <xf numFmtId="49" fontId="7" fillId="6" borderId="60" xfId="2" applyNumberFormat="1" applyFont="1" applyFill="1" applyBorder="1" applyAlignment="1">
      <alignment horizontal="left" vertical="center" wrapText="1"/>
    </xf>
    <xf numFmtId="0" fontId="9" fillId="0" borderId="29"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28" xfId="2" applyFont="1" applyBorder="1" applyAlignment="1">
      <alignment horizontal="center" vertical="center" wrapText="1"/>
    </xf>
    <xf numFmtId="0" fontId="9" fillId="0" borderId="59" xfId="2" applyFont="1" applyBorder="1" applyAlignment="1">
      <alignment horizontal="center" vertical="center" wrapText="1"/>
    </xf>
    <xf numFmtId="0" fontId="9" fillId="0" borderId="60" xfId="2" applyFont="1" applyBorder="1" applyAlignment="1">
      <alignment horizontal="center" vertical="center" wrapText="1"/>
    </xf>
    <xf numFmtId="44" fontId="10" fillId="0" borderId="43" xfId="3" applyFont="1" applyBorder="1" applyAlignment="1">
      <alignment horizontal="center"/>
    </xf>
    <xf numFmtId="0" fontId="11" fillId="6" borderId="61" xfId="2" applyFont="1" applyFill="1" applyBorder="1" applyAlignment="1">
      <alignment vertical="center"/>
    </xf>
    <xf numFmtId="0" fontId="11" fillId="6" borderId="54" xfId="2" applyFont="1" applyFill="1" applyBorder="1" applyAlignment="1">
      <alignment vertical="center"/>
    </xf>
    <xf numFmtId="0" fontId="11" fillId="3" borderId="54" xfId="2" applyFont="1" applyFill="1" applyBorder="1" applyAlignment="1">
      <alignment vertical="center"/>
    </xf>
    <xf numFmtId="44" fontId="11" fillId="3" borderId="54" xfId="2" applyNumberFormat="1" applyFont="1" applyFill="1" applyBorder="1" applyAlignment="1">
      <alignment vertical="center"/>
    </xf>
    <xf numFmtId="2" fontId="11" fillId="3" borderId="54" xfId="2" applyNumberFormat="1" applyFont="1" applyFill="1" applyBorder="1" applyAlignment="1">
      <alignment vertical="center"/>
    </xf>
    <xf numFmtId="0" fontId="13" fillId="3" borderId="54" xfId="2" applyFont="1" applyFill="1" applyBorder="1" applyAlignment="1">
      <alignment horizontal="center" vertical="center"/>
    </xf>
    <xf numFmtId="0" fontId="13" fillId="3" borderId="62" xfId="2" applyFont="1" applyFill="1" applyBorder="1" applyAlignment="1">
      <alignment horizontal="center" vertical="center"/>
    </xf>
    <xf numFmtId="0" fontId="14" fillId="0" borderId="26" xfId="2" applyFont="1" applyBorder="1" applyAlignment="1">
      <alignment horizontal="center" vertical="center" wrapText="1"/>
    </xf>
    <xf numFmtId="0" fontId="14" fillId="0" borderId="24" xfId="2" applyFont="1" applyBorder="1" applyAlignment="1">
      <alignment horizontal="center" vertical="center" wrapText="1"/>
    </xf>
    <xf numFmtId="0" fontId="14" fillId="0" borderId="22" xfId="2" applyFont="1" applyBorder="1" applyAlignment="1">
      <alignment horizontal="center" vertical="center" wrapText="1"/>
    </xf>
    <xf numFmtId="44" fontId="10" fillId="0" borderId="55" xfId="3" applyFont="1" applyBorder="1" applyAlignment="1">
      <alignment horizontal="center"/>
    </xf>
    <xf numFmtId="0" fontId="11" fillId="6" borderId="41" xfId="2" applyFont="1" applyFill="1" applyBorder="1" applyAlignment="1">
      <alignment vertical="center"/>
    </xf>
    <xf numFmtId="0" fontId="11" fillId="6" borderId="42" xfId="2" applyFont="1" applyFill="1" applyBorder="1" applyAlignment="1">
      <alignment vertical="center"/>
    </xf>
    <xf numFmtId="0" fontId="11" fillId="3" borderId="42" xfId="2" applyFont="1" applyFill="1" applyBorder="1" applyAlignment="1">
      <alignment vertical="center"/>
    </xf>
    <xf numFmtId="44" fontId="11" fillId="3" borderId="42" xfId="2" applyNumberFormat="1" applyFont="1" applyFill="1" applyBorder="1" applyAlignment="1">
      <alignment vertical="center"/>
    </xf>
    <xf numFmtId="2" fontId="11" fillId="3" borderId="42" xfId="2" applyNumberFormat="1" applyFont="1" applyFill="1" applyBorder="1" applyAlignment="1">
      <alignment vertical="center"/>
    </xf>
    <xf numFmtId="0" fontId="13" fillId="3" borderId="42" xfId="2" applyFont="1" applyFill="1" applyBorder="1" applyAlignment="1">
      <alignment horizontal="center" vertical="center"/>
    </xf>
    <xf numFmtId="0" fontId="13" fillId="3" borderId="57" xfId="2" applyFont="1" applyFill="1" applyBorder="1" applyAlignment="1">
      <alignment horizontal="center" vertical="center"/>
    </xf>
  </cellXfs>
  <cellStyles count="8">
    <cellStyle name="Hiperlink" xfId="1" builtinId="8"/>
    <cellStyle name="Moeda 2" xfId="3" xr:uid="{0E401340-6805-4FE0-B80E-119F6A9781EC}"/>
    <cellStyle name="Moeda 2 2" xfId="6" xr:uid="{8D54B115-B6F1-43E8-91D0-E7AD8E557ACD}"/>
    <cellStyle name="Normal" xfId="0" builtinId="0"/>
    <cellStyle name="Normal 2" xfId="2" xr:uid="{09A12126-B71E-4727-996C-535D56E1ED8F}"/>
    <cellStyle name="Normal 2 2" xfId="5" xr:uid="{DB2EA010-3BCF-43CA-A4F7-D18A5CC312D1}"/>
    <cellStyle name="Porcentagem 2" xfId="4" xr:uid="{AFAE089C-1E98-4552-8243-9FF4592A9FE7}"/>
    <cellStyle name="Porcentagem 2 2" xfId="7" xr:uid="{465F0BDF-CAA2-473C-89C7-FD7DD8FB980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g"/><Relationship Id="rId3" Type="http://schemas.openxmlformats.org/officeDocument/2006/relationships/image" Target="../media/image3.jp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s>
</file>

<file path=xl/drawings/_rels/drawing2.xml.rels><?xml version="1.0" encoding="UTF-8" standalone="yes"?>
<Relationships xmlns="http://schemas.openxmlformats.org/package/2006/relationships"><Relationship Id="rId1"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0</xdr:colOff>
      <xdr:row>37</xdr:row>
      <xdr:rowOff>64021</xdr:rowOff>
    </xdr:to>
    <xdr:pic>
      <xdr:nvPicPr>
        <xdr:cNvPr id="6" name="Imagem 5">
          <a:extLst>
            <a:ext uri="{FF2B5EF4-FFF2-40B4-BE49-F238E27FC236}">
              <a16:creationId xmlns:a16="http://schemas.microsoft.com/office/drawing/2014/main" id="{16856503-3B16-4C60-B782-DA1561F65B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7112521"/>
        </a:xfrm>
        <a:prstGeom prst="rect">
          <a:avLst/>
        </a:prstGeom>
      </xdr:spPr>
    </xdr:pic>
    <xdr:clientData/>
  </xdr:twoCellAnchor>
  <xdr:twoCellAnchor editAs="oneCell">
    <xdr:from>
      <xdr:col>0</xdr:col>
      <xdr:colOff>0</xdr:colOff>
      <xdr:row>37</xdr:row>
      <xdr:rowOff>0</xdr:rowOff>
    </xdr:from>
    <xdr:to>
      <xdr:col>12</xdr:col>
      <xdr:colOff>0</xdr:colOff>
      <xdr:row>74</xdr:row>
      <xdr:rowOff>64021</xdr:rowOff>
    </xdr:to>
    <xdr:pic>
      <xdr:nvPicPr>
        <xdr:cNvPr id="8" name="Imagem 7">
          <a:extLst>
            <a:ext uri="{FF2B5EF4-FFF2-40B4-BE49-F238E27FC236}">
              <a16:creationId xmlns:a16="http://schemas.microsoft.com/office/drawing/2014/main" id="{FE457C30-F59B-4004-96DA-798B50EF21E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048500"/>
          <a:ext cx="10058400" cy="7112521"/>
        </a:xfrm>
        <a:prstGeom prst="rect">
          <a:avLst/>
        </a:prstGeom>
      </xdr:spPr>
    </xdr:pic>
    <xdr:clientData/>
  </xdr:twoCellAnchor>
  <xdr:twoCellAnchor editAs="oneCell">
    <xdr:from>
      <xdr:col>0</xdr:col>
      <xdr:colOff>0</xdr:colOff>
      <xdr:row>74</xdr:row>
      <xdr:rowOff>0</xdr:rowOff>
    </xdr:from>
    <xdr:to>
      <xdr:col>12</xdr:col>
      <xdr:colOff>0</xdr:colOff>
      <xdr:row>111</xdr:row>
      <xdr:rowOff>64021</xdr:rowOff>
    </xdr:to>
    <xdr:pic>
      <xdr:nvPicPr>
        <xdr:cNvPr id="10" name="Imagem 9">
          <a:extLst>
            <a:ext uri="{FF2B5EF4-FFF2-40B4-BE49-F238E27FC236}">
              <a16:creationId xmlns:a16="http://schemas.microsoft.com/office/drawing/2014/main" id="{7281A875-BA68-4FC2-A7FB-2D332DEA098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4097000"/>
          <a:ext cx="10058400" cy="7112521"/>
        </a:xfrm>
        <a:prstGeom prst="rect">
          <a:avLst/>
        </a:prstGeom>
      </xdr:spPr>
    </xdr:pic>
    <xdr:clientData/>
  </xdr:twoCellAnchor>
  <xdr:twoCellAnchor editAs="oneCell">
    <xdr:from>
      <xdr:col>0</xdr:col>
      <xdr:colOff>0</xdr:colOff>
      <xdr:row>111</xdr:row>
      <xdr:rowOff>0</xdr:rowOff>
    </xdr:from>
    <xdr:to>
      <xdr:col>12</xdr:col>
      <xdr:colOff>0</xdr:colOff>
      <xdr:row>148</xdr:row>
      <xdr:rowOff>64021</xdr:rowOff>
    </xdr:to>
    <xdr:pic>
      <xdr:nvPicPr>
        <xdr:cNvPr id="3" name="Imagem 2">
          <a:extLst>
            <a:ext uri="{FF2B5EF4-FFF2-40B4-BE49-F238E27FC236}">
              <a16:creationId xmlns:a16="http://schemas.microsoft.com/office/drawing/2014/main" id="{5EBE77F7-9137-4AC0-B065-2976D336E1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21145500"/>
          <a:ext cx="10058400" cy="7112521"/>
        </a:xfrm>
        <a:prstGeom prst="rect">
          <a:avLst/>
        </a:prstGeom>
      </xdr:spPr>
    </xdr:pic>
    <xdr:clientData/>
  </xdr:twoCellAnchor>
  <xdr:twoCellAnchor editAs="oneCell">
    <xdr:from>
      <xdr:col>0</xdr:col>
      <xdr:colOff>0</xdr:colOff>
      <xdr:row>148</xdr:row>
      <xdr:rowOff>0</xdr:rowOff>
    </xdr:from>
    <xdr:to>
      <xdr:col>12</xdr:col>
      <xdr:colOff>0</xdr:colOff>
      <xdr:row>185</xdr:row>
      <xdr:rowOff>64021</xdr:rowOff>
    </xdr:to>
    <xdr:pic>
      <xdr:nvPicPr>
        <xdr:cNvPr id="5" name="Imagem 4">
          <a:extLst>
            <a:ext uri="{FF2B5EF4-FFF2-40B4-BE49-F238E27FC236}">
              <a16:creationId xmlns:a16="http://schemas.microsoft.com/office/drawing/2014/main" id="{90D180BC-7864-4A87-A8B4-07DD735D72D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28194000"/>
          <a:ext cx="10058400" cy="7112521"/>
        </a:xfrm>
        <a:prstGeom prst="rect">
          <a:avLst/>
        </a:prstGeom>
      </xdr:spPr>
    </xdr:pic>
    <xdr:clientData/>
  </xdr:twoCellAnchor>
  <xdr:twoCellAnchor editAs="oneCell">
    <xdr:from>
      <xdr:col>0</xdr:col>
      <xdr:colOff>0</xdr:colOff>
      <xdr:row>185</xdr:row>
      <xdr:rowOff>0</xdr:rowOff>
    </xdr:from>
    <xdr:to>
      <xdr:col>12</xdr:col>
      <xdr:colOff>0</xdr:colOff>
      <xdr:row>222</xdr:row>
      <xdr:rowOff>64021</xdr:rowOff>
    </xdr:to>
    <xdr:pic>
      <xdr:nvPicPr>
        <xdr:cNvPr id="9" name="Imagem 8">
          <a:extLst>
            <a:ext uri="{FF2B5EF4-FFF2-40B4-BE49-F238E27FC236}">
              <a16:creationId xmlns:a16="http://schemas.microsoft.com/office/drawing/2014/main" id="{E72C0DF1-8C3D-4B46-BCE0-5ACB52BF56D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35242500"/>
          <a:ext cx="10058400" cy="7112521"/>
        </a:xfrm>
        <a:prstGeom prst="rect">
          <a:avLst/>
        </a:prstGeom>
      </xdr:spPr>
    </xdr:pic>
    <xdr:clientData/>
  </xdr:twoCellAnchor>
  <xdr:twoCellAnchor editAs="oneCell">
    <xdr:from>
      <xdr:col>0</xdr:col>
      <xdr:colOff>0</xdr:colOff>
      <xdr:row>222</xdr:row>
      <xdr:rowOff>0</xdr:rowOff>
    </xdr:from>
    <xdr:to>
      <xdr:col>12</xdr:col>
      <xdr:colOff>0</xdr:colOff>
      <xdr:row>259</xdr:row>
      <xdr:rowOff>64021</xdr:rowOff>
    </xdr:to>
    <xdr:pic>
      <xdr:nvPicPr>
        <xdr:cNvPr id="12" name="Imagem 11">
          <a:extLst>
            <a:ext uri="{FF2B5EF4-FFF2-40B4-BE49-F238E27FC236}">
              <a16:creationId xmlns:a16="http://schemas.microsoft.com/office/drawing/2014/main" id="{182125BA-90C2-45F0-B71A-E109070F19D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42291000"/>
          <a:ext cx="10058400" cy="7112521"/>
        </a:xfrm>
        <a:prstGeom prst="rect">
          <a:avLst/>
        </a:prstGeom>
      </xdr:spPr>
    </xdr:pic>
    <xdr:clientData/>
  </xdr:twoCellAnchor>
  <xdr:twoCellAnchor editAs="oneCell">
    <xdr:from>
      <xdr:col>0</xdr:col>
      <xdr:colOff>0</xdr:colOff>
      <xdr:row>259</xdr:row>
      <xdr:rowOff>0</xdr:rowOff>
    </xdr:from>
    <xdr:to>
      <xdr:col>12</xdr:col>
      <xdr:colOff>0</xdr:colOff>
      <xdr:row>296</xdr:row>
      <xdr:rowOff>64021</xdr:rowOff>
    </xdr:to>
    <xdr:pic>
      <xdr:nvPicPr>
        <xdr:cNvPr id="14" name="Imagem 13">
          <a:extLst>
            <a:ext uri="{FF2B5EF4-FFF2-40B4-BE49-F238E27FC236}">
              <a16:creationId xmlns:a16="http://schemas.microsoft.com/office/drawing/2014/main" id="{766F8288-2650-48BF-9C61-0CED28259C22}"/>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49339500"/>
          <a:ext cx="10058400" cy="7112521"/>
        </a:xfrm>
        <a:prstGeom prst="rect">
          <a:avLst/>
        </a:prstGeom>
      </xdr:spPr>
    </xdr:pic>
    <xdr:clientData/>
  </xdr:twoCellAnchor>
  <xdr:twoCellAnchor editAs="oneCell">
    <xdr:from>
      <xdr:col>0</xdr:col>
      <xdr:colOff>0</xdr:colOff>
      <xdr:row>296</xdr:row>
      <xdr:rowOff>0</xdr:rowOff>
    </xdr:from>
    <xdr:to>
      <xdr:col>12</xdr:col>
      <xdr:colOff>0</xdr:colOff>
      <xdr:row>333</xdr:row>
      <xdr:rowOff>64021</xdr:rowOff>
    </xdr:to>
    <xdr:pic>
      <xdr:nvPicPr>
        <xdr:cNvPr id="16" name="Imagem 15">
          <a:extLst>
            <a:ext uri="{FF2B5EF4-FFF2-40B4-BE49-F238E27FC236}">
              <a16:creationId xmlns:a16="http://schemas.microsoft.com/office/drawing/2014/main" id="{7678CC80-AFD2-456B-BDBD-95C98A4690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56388000"/>
          <a:ext cx="10058400" cy="7112521"/>
        </a:xfrm>
        <a:prstGeom prst="rect">
          <a:avLst/>
        </a:prstGeom>
      </xdr:spPr>
    </xdr:pic>
    <xdr:clientData/>
  </xdr:twoCellAnchor>
  <xdr:twoCellAnchor editAs="oneCell">
    <xdr:from>
      <xdr:col>0</xdr:col>
      <xdr:colOff>0</xdr:colOff>
      <xdr:row>333</xdr:row>
      <xdr:rowOff>0</xdr:rowOff>
    </xdr:from>
    <xdr:to>
      <xdr:col>12</xdr:col>
      <xdr:colOff>0</xdr:colOff>
      <xdr:row>370</xdr:row>
      <xdr:rowOff>64021</xdr:rowOff>
    </xdr:to>
    <xdr:pic>
      <xdr:nvPicPr>
        <xdr:cNvPr id="18" name="Imagem 17">
          <a:extLst>
            <a:ext uri="{FF2B5EF4-FFF2-40B4-BE49-F238E27FC236}">
              <a16:creationId xmlns:a16="http://schemas.microsoft.com/office/drawing/2014/main" id="{2E81EFB6-74B0-4DB3-9386-B4379986F79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63436500"/>
          <a:ext cx="10058400" cy="7112521"/>
        </a:xfrm>
        <a:prstGeom prst="rect">
          <a:avLst/>
        </a:prstGeom>
      </xdr:spPr>
    </xdr:pic>
    <xdr:clientData/>
  </xdr:twoCellAnchor>
  <xdr:twoCellAnchor editAs="oneCell">
    <xdr:from>
      <xdr:col>0</xdr:col>
      <xdr:colOff>0</xdr:colOff>
      <xdr:row>370</xdr:row>
      <xdr:rowOff>0</xdr:rowOff>
    </xdr:from>
    <xdr:to>
      <xdr:col>12</xdr:col>
      <xdr:colOff>0</xdr:colOff>
      <xdr:row>407</xdr:row>
      <xdr:rowOff>64021</xdr:rowOff>
    </xdr:to>
    <xdr:pic>
      <xdr:nvPicPr>
        <xdr:cNvPr id="20" name="Imagem 19">
          <a:extLst>
            <a:ext uri="{FF2B5EF4-FFF2-40B4-BE49-F238E27FC236}">
              <a16:creationId xmlns:a16="http://schemas.microsoft.com/office/drawing/2014/main" id="{9A3757CE-830C-4820-9BA8-AB34771BB684}"/>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70485000"/>
          <a:ext cx="10058400" cy="7112521"/>
        </a:xfrm>
        <a:prstGeom prst="rect">
          <a:avLst/>
        </a:prstGeom>
      </xdr:spPr>
    </xdr:pic>
    <xdr:clientData/>
  </xdr:twoCellAnchor>
  <xdr:twoCellAnchor editAs="oneCell">
    <xdr:from>
      <xdr:col>0</xdr:col>
      <xdr:colOff>0</xdr:colOff>
      <xdr:row>407</xdr:row>
      <xdr:rowOff>0</xdr:rowOff>
    </xdr:from>
    <xdr:to>
      <xdr:col>12</xdr:col>
      <xdr:colOff>0</xdr:colOff>
      <xdr:row>444</xdr:row>
      <xdr:rowOff>64021</xdr:rowOff>
    </xdr:to>
    <xdr:pic>
      <xdr:nvPicPr>
        <xdr:cNvPr id="22" name="Imagem 21">
          <a:extLst>
            <a:ext uri="{FF2B5EF4-FFF2-40B4-BE49-F238E27FC236}">
              <a16:creationId xmlns:a16="http://schemas.microsoft.com/office/drawing/2014/main" id="{F06FBA92-145A-4EFC-9C9A-B33F8A3C1F2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77533500"/>
          <a:ext cx="10058400" cy="7112521"/>
        </a:xfrm>
        <a:prstGeom prst="rect">
          <a:avLst/>
        </a:prstGeom>
      </xdr:spPr>
    </xdr:pic>
    <xdr:clientData/>
  </xdr:twoCellAnchor>
  <xdr:twoCellAnchor editAs="oneCell">
    <xdr:from>
      <xdr:col>0</xdr:col>
      <xdr:colOff>0</xdr:colOff>
      <xdr:row>444</xdr:row>
      <xdr:rowOff>0</xdr:rowOff>
    </xdr:from>
    <xdr:to>
      <xdr:col>12</xdr:col>
      <xdr:colOff>0</xdr:colOff>
      <xdr:row>481</xdr:row>
      <xdr:rowOff>64021</xdr:rowOff>
    </xdr:to>
    <xdr:pic>
      <xdr:nvPicPr>
        <xdr:cNvPr id="24" name="Imagem 23">
          <a:extLst>
            <a:ext uri="{FF2B5EF4-FFF2-40B4-BE49-F238E27FC236}">
              <a16:creationId xmlns:a16="http://schemas.microsoft.com/office/drawing/2014/main" id="{86E94593-6D3A-4E00-902B-251600C25DC4}"/>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84582000"/>
          <a:ext cx="10058400" cy="7112521"/>
        </a:xfrm>
        <a:prstGeom prst="rect">
          <a:avLst/>
        </a:prstGeom>
      </xdr:spPr>
    </xdr:pic>
    <xdr:clientData/>
  </xdr:twoCellAnchor>
  <xdr:twoCellAnchor editAs="oneCell">
    <xdr:from>
      <xdr:col>0</xdr:col>
      <xdr:colOff>0</xdr:colOff>
      <xdr:row>481</xdr:row>
      <xdr:rowOff>0</xdr:rowOff>
    </xdr:from>
    <xdr:to>
      <xdr:col>12</xdr:col>
      <xdr:colOff>0</xdr:colOff>
      <xdr:row>518</xdr:row>
      <xdr:rowOff>64021</xdr:rowOff>
    </xdr:to>
    <xdr:pic>
      <xdr:nvPicPr>
        <xdr:cNvPr id="26" name="Imagem 25">
          <a:extLst>
            <a:ext uri="{FF2B5EF4-FFF2-40B4-BE49-F238E27FC236}">
              <a16:creationId xmlns:a16="http://schemas.microsoft.com/office/drawing/2014/main" id="{AE353F7D-4266-43F5-969C-23A1F604D5F1}"/>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91630500"/>
          <a:ext cx="10058400" cy="7112521"/>
        </a:xfrm>
        <a:prstGeom prst="rect">
          <a:avLst/>
        </a:prstGeom>
      </xdr:spPr>
    </xdr:pic>
    <xdr:clientData/>
  </xdr:twoCellAnchor>
  <xdr:twoCellAnchor editAs="oneCell">
    <xdr:from>
      <xdr:col>0</xdr:col>
      <xdr:colOff>0</xdr:colOff>
      <xdr:row>518</xdr:row>
      <xdr:rowOff>0</xdr:rowOff>
    </xdr:from>
    <xdr:to>
      <xdr:col>12</xdr:col>
      <xdr:colOff>0</xdr:colOff>
      <xdr:row>555</xdr:row>
      <xdr:rowOff>64021</xdr:rowOff>
    </xdr:to>
    <xdr:pic>
      <xdr:nvPicPr>
        <xdr:cNvPr id="28" name="Imagem 27">
          <a:extLst>
            <a:ext uri="{FF2B5EF4-FFF2-40B4-BE49-F238E27FC236}">
              <a16:creationId xmlns:a16="http://schemas.microsoft.com/office/drawing/2014/main" id="{B75B5690-36F0-42F7-9293-65B006F9A861}"/>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0" y="98679000"/>
          <a:ext cx="10058400" cy="7112521"/>
        </a:xfrm>
        <a:prstGeom prst="rect">
          <a:avLst/>
        </a:prstGeom>
      </xdr:spPr>
    </xdr:pic>
    <xdr:clientData/>
  </xdr:twoCellAnchor>
  <xdr:twoCellAnchor editAs="oneCell">
    <xdr:from>
      <xdr:col>0</xdr:col>
      <xdr:colOff>0</xdr:colOff>
      <xdr:row>555</xdr:row>
      <xdr:rowOff>0</xdr:rowOff>
    </xdr:from>
    <xdr:to>
      <xdr:col>12</xdr:col>
      <xdr:colOff>0</xdr:colOff>
      <xdr:row>592</xdr:row>
      <xdr:rowOff>64021</xdr:rowOff>
    </xdr:to>
    <xdr:pic>
      <xdr:nvPicPr>
        <xdr:cNvPr id="30" name="Imagem 29">
          <a:extLst>
            <a:ext uri="{FF2B5EF4-FFF2-40B4-BE49-F238E27FC236}">
              <a16:creationId xmlns:a16="http://schemas.microsoft.com/office/drawing/2014/main" id="{0F6B45A5-18E2-4E91-AD99-FB3D3A76AA1D}"/>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0" y="105727500"/>
          <a:ext cx="10058400" cy="7112521"/>
        </a:xfrm>
        <a:prstGeom prst="rect">
          <a:avLst/>
        </a:prstGeom>
      </xdr:spPr>
    </xdr:pic>
    <xdr:clientData/>
  </xdr:twoCellAnchor>
  <xdr:twoCellAnchor editAs="oneCell">
    <xdr:from>
      <xdr:col>0</xdr:col>
      <xdr:colOff>0</xdr:colOff>
      <xdr:row>592</xdr:row>
      <xdr:rowOff>0</xdr:rowOff>
    </xdr:from>
    <xdr:to>
      <xdr:col>12</xdr:col>
      <xdr:colOff>0</xdr:colOff>
      <xdr:row>629</xdr:row>
      <xdr:rowOff>64021</xdr:rowOff>
    </xdr:to>
    <xdr:pic>
      <xdr:nvPicPr>
        <xdr:cNvPr id="32" name="Imagem 31">
          <a:extLst>
            <a:ext uri="{FF2B5EF4-FFF2-40B4-BE49-F238E27FC236}">
              <a16:creationId xmlns:a16="http://schemas.microsoft.com/office/drawing/2014/main" id="{5596D6FF-839C-4920-9AAB-19AA586F639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0" y="112776000"/>
          <a:ext cx="10058400" cy="7112521"/>
        </a:xfrm>
        <a:prstGeom prst="rect">
          <a:avLst/>
        </a:prstGeom>
      </xdr:spPr>
    </xdr:pic>
    <xdr:clientData/>
  </xdr:twoCellAnchor>
  <xdr:twoCellAnchor editAs="oneCell">
    <xdr:from>
      <xdr:col>0</xdr:col>
      <xdr:colOff>0</xdr:colOff>
      <xdr:row>629</xdr:row>
      <xdr:rowOff>0</xdr:rowOff>
    </xdr:from>
    <xdr:to>
      <xdr:col>12</xdr:col>
      <xdr:colOff>0</xdr:colOff>
      <xdr:row>666</xdr:row>
      <xdr:rowOff>64021</xdr:rowOff>
    </xdr:to>
    <xdr:pic>
      <xdr:nvPicPr>
        <xdr:cNvPr id="34" name="Imagem 33">
          <a:extLst>
            <a:ext uri="{FF2B5EF4-FFF2-40B4-BE49-F238E27FC236}">
              <a16:creationId xmlns:a16="http://schemas.microsoft.com/office/drawing/2014/main" id="{23346B76-B924-4369-B008-46ABF527A661}"/>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0" y="119824500"/>
          <a:ext cx="10058400" cy="7112521"/>
        </a:xfrm>
        <a:prstGeom prst="rect">
          <a:avLst/>
        </a:prstGeom>
      </xdr:spPr>
    </xdr:pic>
    <xdr:clientData/>
  </xdr:twoCellAnchor>
  <xdr:twoCellAnchor editAs="oneCell">
    <xdr:from>
      <xdr:col>0</xdr:col>
      <xdr:colOff>0</xdr:colOff>
      <xdr:row>666</xdr:row>
      <xdr:rowOff>0</xdr:rowOff>
    </xdr:from>
    <xdr:to>
      <xdr:col>12</xdr:col>
      <xdr:colOff>0</xdr:colOff>
      <xdr:row>703</xdr:row>
      <xdr:rowOff>64021</xdr:rowOff>
    </xdr:to>
    <xdr:pic>
      <xdr:nvPicPr>
        <xdr:cNvPr id="36" name="Imagem 35">
          <a:extLst>
            <a:ext uri="{FF2B5EF4-FFF2-40B4-BE49-F238E27FC236}">
              <a16:creationId xmlns:a16="http://schemas.microsoft.com/office/drawing/2014/main" id="{3F029B40-2A9C-4757-B626-242F77A8DED3}"/>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0" y="126873000"/>
          <a:ext cx="10058400" cy="7112521"/>
        </a:xfrm>
        <a:prstGeom prst="rect">
          <a:avLst/>
        </a:prstGeom>
      </xdr:spPr>
    </xdr:pic>
    <xdr:clientData/>
  </xdr:twoCellAnchor>
  <xdr:twoCellAnchor editAs="oneCell">
    <xdr:from>
      <xdr:col>0</xdr:col>
      <xdr:colOff>0</xdr:colOff>
      <xdr:row>703</xdr:row>
      <xdr:rowOff>0</xdr:rowOff>
    </xdr:from>
    <xdr:to>
      <xdr:col>12</xdr:col>
      <xdr:colOff>0</xdr:colOff>
      <xdr:row>740</xdr:row>
      <xdr:rowOff>64021</xdr:rowOff>
    </xdr:to>
    <xdr:pic>
      <xdr:nvPicPr>
        <xdr:cNvPr id="38" name="Imagem 37">
          <a:extLst>
            <a:ext uri="{FF2B5EF4-FFF2-40B4-BE49-F238E27FC236}">
              <a16:creationId xmlns:a16="http://schemas.microsoft.com/office/drawing/2014/main" id="{5AEDF85A-4065-429D-84F7-38F61AB75309}"/>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0" y="133921500"/>
          <a:ext cx="10058400" cy="7112521"/>
        </a:xfrm>
        <a:prstGeom prst="rect">
          <a:avLst/>
        </a:prstGeom>
      </xdr:spPr>
    </xdr:pic>
    <xdr:clientData/>
  </xdr:twoCellAnchor>
  <xdr:twoCellAnchor editAs="oneCell">
    <xdr:from>
      <xdr:col>0</xdr:col>
      <xdr:colOff>0</xdr:colOff>
      <xdr:row>740</xdr:row>
      <xdr:rowOff>0</xdr:rowOff>
    </xdr:from>
    <xdr:to>
      <xdr:col>12</xdr:col>
      <xdr:colOff>0</xdr:colOff>
      <xdr:row>777</xdr:row>
      <xdr:rowOff>64021</xdr:rowOff>
    </xdr:to>
    <xdr:pic>
      <xdr:nvPicPr>
        <xdr:cNvPr id="40" name="Imagem 39">
          <a:extLst>
            <a:ext uri="{FF2B5EF4-FFF2-40B4-BE49-F238E27FC236}">
              <a16:creationId xmlns:a16="http://schemas.microsoft.com/office/drawing/2014/main" id="{F8759D42-C263-41B4-9196-77B7A3BFD933}"/>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0" y="140970000"/>
          <a:ext cx="10058400" cy="7112521"/>
        </a:xfrm>
        <a:prstGeom prst="rect">
          <a:avLst/>
        </a:prstGeom>
      </xdr:spPr>
    </xdr:pic>
    <xdr:clientData/>
  </xdr:twoCellAnchor>
  <xdr:twoCellAnchor editAs="oneCell">
    <xdr:from>
      <xdr:col>0</xdr:col>
      <xdr:colOff>0</xdr:colOff>
      <xdr:row>777</xdr:row>
      <xdr:rowOff>0</xdr:rowOff>
    </xdr:from>
    <xdr:to>
      <xdr:col>12</xdr:col>
      <xdr:colOff>0</xdr:colOff>
      <xdr:row>814</xdr:row>
      <xdr:rowOff>64021</xdr:rowOff>
    </xdr:to>
    <xdr:pic>
      <xdr:nvPicPr>
        <xdr:cNvPr id="42" name="Imagem 41">
          <a:extLst>
            <a:ext uri="{FF2B5EF4-FFF2-40B4-BE49-F238E27FC236}">
              <a16:creationId xmlns:a16="http://schemas.microsoft.com/office/drawing/2014/main" id="{A038F027-8125-4649-BB81-B61F87EBBD7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0" y="148018500"/>
          <a:ext cx="10058400" cy="7112521"/>
        </a:xfrm>
        <a:prstGeom prst="rect">
          <a:avLst/>
        </a:prstGeom>
      </xdr:spPr>
    </xdr:pic>
    <xdr:clientData/>
  </xdr:twoCellAnchor>
  <xdr:twoCellAnchor editAs="oneCell">
    <xdr:from>
      <xdr:col>0</xdr:col>
      <xdr:colOff>0</xdr:colOff>
      <xdr:row>814</xdr:row>
      <xdr:rowOff>0</xdr:rowOff>
    </xdr:from>
    <xdr:to>
      <xdr:col>12</xdr:col>
      <xdr:colOff>0</xdr:colOff>
      <xdr:row>851</xdr:row>
      <xdr:rowOff>64021</xdr:rowOff>
    </xdr:to>
    <xdr:pic>
      <xdr:nvPicPr>
        <xdr:cNvPr id="44" name="Imagem 43">
          <a:extLst>
            <a:ext uri="{FF2B5EF4-FFF2-40B4-BE49-F238E27FC236}">
              <a16:creationId xmlns:a16="http://schemas.microsoft.com/office/drawing/2014/main" id="{3645BEB4-0D55-4E63-B855-8241D1E1C676}"/>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0" y="155067000"/>
          <a:ext cx="10058400" cy="7112521"/>
        </a:xfrm>
        <a:prstGeom prst="rect">
          <a:avLst/>
        </a:prstGeom>
      </xdr:spPr>
    </xdr:pic>
    <xdr:clientData/>
  </xdr:twoCellAnchor>
  <xdr:twoCellAnchor editAs="oneCell">
    <xdr:from>
      <xdr:col>0</xdr:col>
      <xdr:colOff>0</xdr:colOff>
      <xdr:row>851</xdr:row>
      <xdr:rowOff>0</xdr:rowOff>
    </xdr:from>
    <xdr:to>
      <xdr:col>12</xdr:col>
      <xdr:colOff>0</xdr:colOff>
      <xdr:row>888</xdr:row>
      <xdr:rowOff>64021</xdr:rowOff>
    </xdr:to>
    <xdr:pic>
      <xdr:nvPicPr>
        <xdr:cNvPr id="46" name="Imagem 45">
          <a:extLst>
            <a:ext uri="{FF2B5EF4-FFF2-40B4-BE49-F238E27FC236}">
              <a16:creationId xmlns:a16="http://schemas.microsoft.com/office/drawing/2014/main" id="{1020E6F1-529B-4088-8FC7-6337F16BC9DE}"/>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0" y="162115500"/>
          <a:ext cx="10058400" cy="7112521"/>
        </a:xfrm>
        <a:prstGeom prst="rect">
          <a:avLst/>
        </a:prstGeom>
      </xdr:spPr>
    </xdr:pic>
    <xdr:clientData/>
  </xdr:twoCellAnchor>
  <xdr:twoCellAnchor editAs="oneCell">
    <xdr:from>
      <xdr:col>0</xdr:col>
      <xdr:colOff>0</xdr:colOff>
      <xdr:row>888</xdr:row>
      <xdr:rowOff>0</xdr:rowOff>
    </xdr:from>
    <xdr:to>
      <xdr:col>12</xdr:col>
      <xdr:colOff>0</xdr:colOff>
      <xdr:row>925</xdr:row>
      <xdr:rowOff>64021</xdr:rowOff>
    </xdr:to>
    <xdr:pic>
      <xdr:nvPicPr>
        <xdr:cNvPr id="48" name="Imagem 47">
          <a:extLst>
            <a:ext uri="{FF2B5EF4-FFF2-40B4-BE49-F238E27FC236}">
              <a16:creationId xmlns:a16="http://schemas.microsoft.com/office/drawing/2014/main" id="{BF83A024-0B44-4EFB-897B-6773A7128D6D}"/>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0" y="169164000"/>
          <a:ext cx="10058400" cy="7112521"/>
        </a:xfrm>
        <a:prstGeom prst="rect">
          <a:avLst/>
        </a:prstGeom>
      </xdr:spPr>
    </xdr:pic>
    <xdr:clientData/>
  </xdr:twoCellAnchor>
  <xdr:twoCellAnchor editAs="oneCell">
    <xdr:from>
      <xdr:col>0</xdr:col>
      <xdr:colOff>0</xdr:colOff>
      <xdr:row>925</xdr:row>
      <xdr:rowOff>0</xdr:rowOff>
    </xdr:from>
    <xdr:to>
      <xdr:col>12</xdr:col>
      <xdr:colOff>0</xdr:colOff>
      <xdr:row>962</xdr:row>
      <xdr:rowOff>64021</xdr:rowOff>
    </xdr:to>
    <xdr:pic>
      <xdr:nvPicPr>
        <xdr:cNvPr id="50" name="Imagem 49">
          <a:extLst>
            <a:ext uri="{FF2B5EF4-FFF2-40B4-BE49-F238E27FC236}">
              <a16:creationId xmlns:a16="http://schemas.microsoft.com/office/drawing/2014/main" id="{62F375B0-9D2A-4259-A714-6F3E050D0F54}"/>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0" y="176212500"/>
          <a:ext cx="10058400" cy="7112521"/>
        </a:xfrm>
        <a:prstGeom prst="rect">
          <a:avLst/>
        </a:prstGeom>
      </xdr:spPr>
    </xdr:pic>
    <xdr:clientData/>
  </xdr:twoCellAnchor>
  <xdr:twoCellAnchor editAs="oneCell">
    <xdr:from>
      <xdr:col>0</xdr:col>
      <xdr:colOff>0</xdr:colOff>
      <xdr:row>962</xdr:row>
      <xdr:rowOff>0</xdr:rowOff>
    </xdr:from>
    <xdr:to>
      <xdr:col>12</xdr:col>
      <xdr:colOff>0</xdr:colOff>
      <xdr:row>999</xdr:row>
      <xdr:rowOff>64021</xdr:rowOff>
    </xdr:to>
    <xdr:pic>
      <xdr:nvPicPr>
        <xdr:cNvPr id="52" name="Imagem 51">
          <a:extLst>
            <a:ext uri="{FF2B5EF4-FFF2-40B4-BE49-F238E27FC236}">
              <a16:creationId xmlns:a16="http://schemas.microsoft.com/office/drawing/2014/main" id="{34499996-E449-4355-9724-81A5CB6921AE}"/>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0" y="183261000"/>
          <a:ext cx="10058400" cy="7112521"/>
        </a:xfrm>
        <a:prstGeom prst="rect">
          <a:avLst/>
        </a:prstGeom>
      </xdr:spPr>
    </xdr:pic>
    <xdr:clientData/>
  </xdr:twoCellAnchor>
  <xdr:twoCellAnchor editAs="oneCell">
    <xdr:from>
      <xdr:col>0</xdr:col>
      <xdr:colOff>0</xdr:colOff>
      <xdr:row>999</xdr:row>
      <xdr:rowOff>0</xdr:rowOff>
    </xdr:from>
    <xdr:to>
      <xdr:col>12</xdr:col>
      <xdr:colOff>0</xdr:colOff>
      <xdr:row>1036</xdr:row>
      <xdr:rowOff>64021</xdr:rowOff>
    </xdr:to>
    <xdr:pic>
      <xdr:nvPicPr>
        <xdr:cNvPr id="54" name="Imagem 53">
          <a:extLst>
            <a:ext uri="{FF2B5EF4-FFF2-40B4-BE49-F238E27FC236}">
              <a16:creationId xmlns:a16="http://schemas.microsoft.com/office/drawing/2014/main" id="{C467CDC6-2172-4278-8FDB-DE3EB6E0195A}"/>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0" y="190309500"/>
          <a:ext cx="10058400" cy="7112521"/>
        </a:xfrm>
        <a:prstGeom prst="rect">
          <a:avLst/>
        </a:prstGeom>
      </xdr:spPr>
    </xdr:pic>
    <xdr:clientData/>
  </xdr:twoCellAnchor>
  <xdr:twoCellAnchor editAs="oneCell">
    <xdr:from>
      <xdr:col>0</xdr:col>
      <xdr:colOff>0</xdr:colOff>
      <xdr:row>1036</xdr:row>
      <xdr:rowOff>0</xdr:rowOff>
    </xdr:from>
    <xdr:to>
      <xdr:col>12</xdr:col>
      <xdr:colOff>0</xdr:colOff>
      <xdr:row>1073</xdr:row>
      <xdr:rowOff>64021</xdr:rowOff>
    </xdr:to>
    <xdr:pic>
      <xdr:nvPicPr>
        <xdr:cNvPr id="58" name="Imagem 57">
          <a:extLst>
            <a:ext uri="{FF2B5EF4-FFF2-40B4-BE49-F238E27FC236}">
              <a16:creationId xmlns:a16="http://schemas.microsoft.com/office/drawing/2014/main" id="{27ED057F-17F3-4A2E-AA20-5A947BF13B27}"/>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0" y="197358000"/>
          <a:ext cx="10058400" cy="7112521"/>
        </a:xfrm>
        <a:prstGeom prst="rect">
          <a:avLst/>
        </a:prstGeom>
      </xdr:spPr>
    </xdr:pic>
    <xdr:clientData/>
  </xdr:twoCellAnchor>
  <xdr:twoCellAnchor editAs="oneCell">
    <xdr:from>
      <xdr:col>0</xdr:col>
      <xdr:colOff>0</xdr:colOff>
      <xdr:row>1073</xdr:row>
      <xdr:rowOff>0</xdr:rowOff>
    </xdr:from>
    <xdr:to>
      <xdr:col>12</xdr:col>
      <xdr:colOff>0</xdr:colOff>
      <xdr:row>1110</xdr:row>
      <xdr:rowOff>64021</xdr:rowOff>
    </xdr:to>
    <xdr:pic>
      <xdr:nvPicPr>
        <xdr:cNvPr id="60" name="Imagem 59">
          <a:extLst>
            <a:ext uri="{FF2B5EF4-FFF2-40B4-BE49-F238E27FC236}">
              <a16:creationId xmlns:a16="http://schemas.microsoft.com/office/drawing/2014/main" id="{66FDB6BA-B0B0-4C61-830A-CDEBFA61D1A5}"/>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0" y="204406500"/>
          <a:ext cx="10058400" cy="7112521"/>
        </a:xfrm>
        <a:prstGeom prst="rect">
          <a:avLst/>
        </a:prstGeom>
      </xdr:spPr>
    </xdr:pic>
    <xdr:clientData/>
  </xdr:twoCellAnchor>
  <xdr:twoCellAnchor editAs="oneCell">
    <xdr:from>
      <xdr:col>0</xdr:col>
      <xdr:colOff>0</xdr:colOff>
      <xdr:row>1110</xdr:row>
      <xdr:rowOff>0</xdr:rowOff>
    </xdr:from>
    <xdr:to>
      <xdr:col>12</xdr:col>
      <xdr:colOff>0</xdr:colOff>
      <xdr:row>1147</xdr:row>
      <xdr:rowOff>64021</xdr:rowOff>
    </xdr:to>
    <xdr:pic>
      <xdr:nvPicPr>
        <xdr:cNvPr id="62" name="Imagem 61">
          <a:extLst>
            <a:ext uri="{FF2B5EF4-FFF2-40B4-BE49-F238E27FC236}">
              <a16:creationId xmlns:a16="http://schemas.microsoft.com/office/drawing/2014/main" id="{1149220D-8369-456E-91A6-56018F4CC623}"/>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0" y="211455000"/>
          <a:ext cx="10058400" cy="7112521"/>
        </a:xfrm>
        <a:prstGeom prst="rect">
          <a:avLst/>
        </a:prstGeom>
      </xdr:spPr>
    </xdr:pic>
    <xdr:clientData/>
  </xdr:twoCellAnchor>
  <xdr:twoCellAnchor editAs="oneCell">
    <xdr:from>
      <xdr:col>0</xdr:col>
      <xdr:colOff>0</xdr:colOff>
      <xdr:row>1147</xdr:row>
      <xdr:rowOff>0</xdr:rowOff>
    </xdr:from>
    <xdr:to>
      <xdr:col>12</xdr:col>
      <xdr:colOff>0</xdr:colOff>
      <xdr:row>1184</xdr:row>
      <xdr:rowOff>64021</xdr:rowOff>
    </xdr:to>
    <xdr:pic>
      <xdr:nvPicPr>
        <xdr:cNvPr id="64" name="Imagem 63">
          <a:extLst>
            <a:ext uri="{FF2B5EF4-FFF2-40B4-BE49-F238E27FC236}">
              <a16:creationId xmlns:a16="http://schemas.microsoft.com/office/drawing/2014/main" id="{035C75B6-F6C0-406C-9238-7AD19E72C7AF}"/>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0" y="218503500"/>
          <a:ext cx="10058400" cy="7112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165650</xdr:colOff>
      <xdr:row>1</xdr:row>
      <xdr:rowOff>198783</xdr:rowOff>
    </xdr:from>
    <xdr:ext cx="4055199" cy="815170"/>
    <xdr:pic>
      <xdr:nvPicPr>
        <xdr:cNvPr id="2" name="Imagem 3">
          <a:extLst>
            <a:ext uri="{FF2B5EF4-FFF2-40B4-BE49-F238E27FC236}">
              <a16:creationId xmlns:a16="http://schemas.microsoft.com/office/drawing/2014/main" id="{649F0FA8-6E59-4344-B955-C25ADAC4C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71250" y="322608"/>
          <a:ext cx="4055199" cy="815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riane\Downloads\001%20-%20Planilha%20de%20Medi&#231;&#227;o_Defensoria%20Publica%20S&#227;o%20Pedro%20da%20Aldeia_Med%20001_Evento.xlsx" TargetMode="External"/><Relationship Id="rId1" Type="http://schemas.openxmlformats.org/officeDocument/2006/relationships/externalLinkPath" Target="001%20-%20Planilha%20de%20Medi&#231;&#227;o_Defensoria%20Publica%20S&#227;o%20Pedro%20da%20Aldeia_Med%20001_Event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cpena/AppData/Local/Temp/7zODF3C.tmp/dados/Documents%20and%20Settings/SOMADS/Desktop/Wallace%20Paes%20Leme/Or&#231;amentos/OR&#199;AMENTO%20TRAVESSA%20RAMOS%20-%20ROBSON%20-%2030%2009%2009.xls" TargetMode="External"/><Relationship Id="rId1" Type="http://schemas.openxmlformats.org/officeDocument/2006/relationships/externalLinkPath" Target="/Users/mcpena/AppData/Local/Temp/7zODF3C.tmp/dados/Documents%20and%20Settings/SOMADS/Desktop/Wallace%20Paes%20Leme/Or&#231;amentos/OR&#199;AMENTO%20TRAVESSA%20RAMOS%20-%20ROBSON%20-%2030%2009%2009.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cpena/AppData/Local/Temp/7zODF3C.tmp/backup%20somads/Micro%20002/Arquivo%20Geral/PMN/Faby/CAT&#211;LOGOS%20EMOP/EMOP2008/Emop1208.dbf" TargetMode="External"/><Relationship Id="rId1" Type="http://schemas.openxmlformats.org/officeDocument/2006/relationships/externalLinkPath" Target="/Users/mcpena/AppData/Local/Temp/7zODF3C.tmp/backup%20somads/Micro%20002/Arquivo%20Geral/PMN/Faby/CAT&#211;LOGOS%20EMOP/EMOP2008/Emop1208.dbf"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cpena/AppData/Local/Temp/7zODF3C.tmp/arquivo%20geral/Documents%20and%20Settings/Administrador/Desktop/Sr.%20Mario/HAWAI/dadosEmopmod.xls" TargetMode="External"/><Relationship Id="rId1" Type="http://schemas.openxmlformats.org/officeDocument/2006/relationships/externalLinkPath" Target="/Users/mcpena/AppData/Local/Temp/7zODF3C.tmp/arquivo%20geral/Documents%20and%20Settings/Administrador/Desktop/Sr.%20Mario/HAWAI/dadosEmopmo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 ORÇAMENTO ONERADA (2)"/>
      <sheetName val="PLANILHA RESUMO ONERADA (2)"/>
      <sheetName val="CURVA ABC"/>
      <sheetName val="PLANILHA RESUMO DESONERADA"/>
      <sheetName val=" ORÇAMENTO DESONERADA"/>
      <sheetName val="COMPOSIÇÕES DESONER."/>
      <sheetName val="PLANILHA RESUMO ONERADA"/>
      <sheetName val=" ORÇAMENTO ONERADA"/>
      <sheetName val="COMPOSIÇÕES ONER."/>
      <sheetName val="COTAÇÕES "/>
      <sheetName val="MEMORIA DE CALCULO MODELO"/>
      <sheetName val="CRONOGRAMA EVENTOGRAMA"/>
      <sheetName val="Planilha Orçamentária"/>
      <sheetName val="Planilha2"/>
      <sheetName val="Planilha1"/>
      <sheetName val="HISTOGRAMA MEDIÇÃO"/>
      <sheetName val="CATALOGO SINAPI"/>
      <sheetName val="CATALOGO EMOP"/>
      <sheetName val="CRONOGRAMA ONER"/>
      <sheetName val="ABRIL 2025 (EMOP)"/>
      <sheetName val="DES. ABRIL 2025"/>
      <sheetName val="ONER. ABRIL 2025"/>
      <sheetName val="MODELO BDI ONERADO"/>
      <sheetName val="MODELO BDI LICITANTE"/>
      <sheetName val="MODELO BDI DESONER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0">
          <cell r="D10" t="str">
            <v>SERVIÇOS COMPLEMENTARES</v>
          </cell>
          <cell r="I10">
            <v>85511.1</v>
          </cell>
          <cell r="J10">
            <v>104725.44416999999</v>
          </cell>
        </row>
        <row r="11">
          <cell r="B11">
            <v>90776</v>
          </cell>
          <cell r="C11" t="str">
            <v>SINAPI</v>
          </cell>
          <cell r="D11" t="str">
            <v>ENCARREGADO GERAL COM ENCARGOS COMPLEMENTARES</v>
          </cell>
          <cell r="E11" t="str">
            <v>H</v>
          </cell>
          <cell r="F11">
            <v>1600</v>
          </cell>
          <cell r="G11" t="str">
            <v>R$ 50,20</v>
          </cell>
          <cell r="H11">
            <v>37.650000000000006</v>
          </cell>
          <cell r="I11">
            <v>60240.000000000007</v>
          </cell>
          <cell r="J11">
            <v>73775.928</v>
          </cell>
        </row>
        <row r="12">
          <cell r="B12">
            <v>90777</v>
          </cell>
          <cell r="C12" t="str">
            <v>SINAPI</v>
          </cell>
          <cell r="D12" t="str">
            <v>ENGENHEIRO CIVIL DE OBRA JUNIOR COM ENCARGOS COMPLEMENTARES</v>
          </cell>
          <cell r="E12" t="str">
            <v>H</v>
          </cell>
          <cell r="F12">
            <v>180</v>
          </cell>
          <cell r="G12" t="str">
            <v>R$ 141,27</v>
          </cell>
          <cell r="H12">
            <v>105.95250000000001</v>
          </cell>
          <cell r="I12">
            <v>19071.450000000004</v>
          </cell>
          <cell r="J12">
            <v>23356.804815000003</v>
          </cell>
        </row>
        <row r="13">
          <cell r="B13" t="str">
            <v>05.100.0900-0</v>
          </cell>
          <cell r="C13" t="str">
            <v>EMOP</v>
          </cell>
          <cell r="D13" t="str">
            <v>UNIDADE REF.P/COMPL.ADM LOCAL,CONSID:CONSUMO AGUA,TEL.ENERGIA ELETR.MAT.LIMPEZA ESCRITORIO,COMPUTADORES LICENCA OBRA,MOVEIS UTENSILIOS,AR COND.BEBEDOURO,ART,RRT,FOTOGRAFIAS,UNIFORMES,DARIAS,EXAMES ADMISSIONAIS,PERIODICOS E DEMISSIONAIS,CURSOS CAPACITACAO/TREINAMENTO ITENS COMPLEMENTEM DESP.NECESS.EXCL.DESP.C/CAFE MANHA,REFEICAO,CESTA BASICA E VALE TRANSPORTE</v>
          </cell>
          <cell r="E13" t="str">
            <v>UR</v>
          </cell>
          <cell r="F13">
            <v>230</v>
          </cell>
          <cell r="G13" t="str">
            <v>R$ 35,94</v>
          </cell>
          <cell r="H13">
            <v>26.954999999999998</v>
          </cell>
          <cell r="I13">
            <v>6199.65</v>
          </cell>
          <cell r="J13">
            <v>7592.7113549999985</v>
          </cell>
        </row>
        <row r="14">
          <cell r="D14" t="str">
            <v>SERVIÇOS GERAIS</v>
          </cell>
          <cell r="I14">
            <v>81665.890500000009</v>
          </cell>
          <cell r="J14">
            <v>100016.19609534999</v>
          </cell>
        </row>
        <row r="15">
          <cell r="D15" t="str">
            <v>SERVICOS DE ESCRITORIO, LABORATORIO E CAMPO</v>
          </cell>
          <cell r="I15">
            <v>27208.14</v>
          </cell>
          <cell r="J15">
            <v>33321.809057999999</v>
          </cell>
        </row>
        <row r="16">
          <cell r="B16" t="str">
            <v>01.050.0356-0</v>
          </cell>
          <cell r="C16" t="str">
            <v>EMOP</v>
          </cell>
          <cell r="D16" t="str">
            <v>PROJETO EXECUTIVO DE ARQUITETURA,CONSIDERANDO O PROJETO BASICO EXISTENTE,PARA PREDIOS ESCOLARES E/OU ADMINISTRATIVOS ATE500M2,APRESENTADO NOS PADROES DA CONTRATANTE,INCLUSIVE AS LEGALIZACOES PERTINENTES,COORDENACAO E COMPATIBILIZACAO COM OS PROJETOS COMPLEMENTARES</v>
          </cell>
          <cell r="E16" t="str">
            <v>M2</v>
          </cell>
          <cell r="F16">
            <v>226</v>
          </cell>
          <cell r="G16" t="str">
            <v>R$ 80,36</v>
          </cell>
          <cell r="H16">
            <v>60.269999999999996</v>
          </cell>
          <cell r="I16">
            <v>13621.019999999999</v>
          </cell>
          <cell r="J16">
            <v>16681.663193999997</v>
          </cell>
        </row>
        <row r="17">
          <cell r="B17" t="str">
            <v>01.050.0376-0</v>
          </cell>
          <cell r="C17" t="str">
            <v>EMOP</v>
          </cell>
          <cell r="D17" t="str">
            <v>PROJETO EXECUTIVO DE INSTALACAO DE INCENDIO E SPDA,CONSIDERANDO PROJETO BASICO EXISTENTE,PARA PREDIOS ESCOLARES E/OU ADMINISTRATIVOS ATE 500M2,APRESENTADO NOS PADROES DA CONTRATANTE,INCLUSIVE AS LEGALIZACOES PERTINENTES</v>
          </cell>
          <cell r="E17" t="str">
            <v>M2</v>
          </cell>
          <cell r="F17">
            <v>226</v>
          </cell>
          <cell r="G17" t="str">
            <v>R$ 4,88</v>
          </cell>
          <cell r="H17">
            <v>3.66</v>
          </cell>
          <cell r="I17">
            <v>827.16000000000008</v>
          </cell>
          <cell r="J17">
            <v>1013.0228520000001</v>
          </cell>
        </row>
        <row r="18">
          <cell r="B18" t="str">
            <v>01.050.0452-0</v>
          </cell>
          <cell r="C18" t="str">
            <v>EMOP</v>
          </cell>
          <cell r="D18" t="str">
            <v>PROJETO EXECUTIVO DE INSTALACAO DE ESGOTO SANITARIO E AGUASPLUVIAIS,CONSIDERANDO O PROJETO BASICO EXISTENTE,PARA PREDIOS ESCOLARES E/OU ADMINISTRATIVOS ATE 500M2,APRESENTADO NOS PADROES DA CONTRATANTE,INCLUSIVE AS LEGALIZACOES PERTINENTES</v>
          </cell>
          <cell r="E18" t="str">
            <v>M2</v>
          </cell>
          <cell r="F18">
            <v>226</v>
          </cell>
          <cell r="G18" t="str">
            <v>R$ 4,88</v>
          </cell>
          <cell r="H18">
            <v>3.66</v>
          </cell>
          <cell r="I18">
            <v>827.16000000000008</v>
          </cell>
          <cell r="J18">
            <v>1013.0228520000001</v>
          </cell>
        </row>
        <row r="19">
          <cell r="B19" t="str">
            <v>01.050.0478-0</v>
          </cell>
          <cell r="C19" t="str">
            <v>EMOP</v>
          </cell>
          <cell r="D19" t="str">
            <v>PROJETO EXECUTIVO DE INSTALACAO HIDRAULICA,CONSIDERANDO O PROJETO BASICO EXISTENTE,PARA PREDIOS ESCOLARES E/OU ADMINISTRATIVOS ATE 500M2,APRESENTADO NOS PADROES DA CONTRATANTE,INCLUSIVE AS LEGALIZACOES PERTINENTES</v>
          </cell>
          <cell r="E19" t="str">
            <v>M2</v>
          </cell>
          <cell r="F19">
            <v>226</v>
          </cell>
          <cell r="G19" t="str">
            <v>R$ 8,19</v>
          </cell>
          <cell r="H19">
            <v>6.1425000000000001</v>
          </cell>
          <cell r="I19">
            <v>1388.2049999999999</v>
          </cell>
          <cell r="J19">
            <v>1700.1346634999998</v>
          </cell>
        </row>
        <row r="20">
          <cell r="B20" t="str">
            <v>01.050.0515-0</v>
          </cell>
          <cell r="C20" t="str">
            <v>EMOP</v>
          </cell>
          <cell r="D20" t="str">
            <v>PROJETO EXECUTIVO DE INSTALACAO ELETRICA,CONSIDERANDO O PROJETO BASICO EXISTENTE,PARA PREDIOS ESCOLARES E/OU ADMINISTRATIVOS ATE 500M2,APRESENTADO NOS PADROES DA CONTRATANTE,INCLUSIVE AS LEGALIZACOES PERTINENTES</v>
          </cell>
          <cell r="E20" t="str">
            <v>M2</v>
          </cell>
          <cell r="F20">
            <v>226</v>
          </cell>
          <cell r="G20" t="str">
            <v>R$ 9,76</v>
          </cell>
          <cell r="H20">
            <v>7.32</v>
          </cell>
          <cell r="I20">
            <v>1654.3200000000002</v>
          </cell>
          <cell r="J20">
            <v>2026.0457040000001</v>
          </cell>
        </row>
        <row r="21">
          <cell r="B21" t="str">
            <v>01.050.0530-0</v>
          </cell>
          <cell r="C21" t="str">
            <v>EMOP</v>
          </cell>
          <cell r="D21" t="str">
            <v>PROJETO EXECUTIVO DE SISTEMA DE AR CONDICIONADO,CONSIDERANDOO PROJETO BASICO EXISTENTE,APRESENTADO NOS PADROES DA CONTRATANTE,PARA PREDIOS COM AREA ATE 500M2</v>
          </cell>
          <cell r="E21" t="str">
            <v>M2</v>
          </cell>
          <cell r="F21">
            <v>226</v>
          </cell>
          <cell r="G21" t="str">
            <v>R$ 7,48</v>
          </cell>
          <cell r="H21">
            <v>5.61</v>
          </cell>
          <cell r="I21">
            <v>1267.8600000000001</v>
          </cell>
          <cell r="J21">
            <v>1552.7481419999999</v>
          </cell>
        </row>
        <row r="22">
          <cell r="B22" t="str">
            <v>01.050.0552-0</v>
          </cell>
          <cell r="C22" t="str">
            <v>EMOP</v>
          </cell>
          <cell r="D22" t="str">
            <v>PROJETO EXECUTIVO ESTRUTURAL PARA PREDIOS ESCOLARES E/OU ADMINISTRATIVOS ATE 500M2,CONSIDERANDO O PROJETO BASICO EXISTENTE,APRESENTADO NOS PADROES DA CONTRATANTE,CONSTANDO DE PLANTAS DE FORMA,ARMACAO E DETALHES</v>
          </cell>
          <cell r="E22" t="str">
            <v>M2</v>
          </cell>
          <cell r="F22">
            <v>226</v>
          </cell>
          <cell r="G22" t="str">
            <v>R$ 44,97</v>
          </cell>
          <cell r="H22">
            <v>33.727499999999999</v>
          </cell>
          <cell r="I22">
            <v>7622.415</v>
          </cell>
          <cell r="J22">
            <v>9335.1716504999986</v>
          </cell>
        </row>
        <row r="23">
          <cell r="D23" t="str">
            <v>CANTEIRO DE OBRA</v>
          </cell>
          <cell r="I23">
            <v>29251.120500000005</v>
          </cell>
          <cell r="J23">
            <v>35823.847276350003</v>
          </cell>
        </row>
        <row r="24">
          <cell r="B24">
            <v>98459</v>
          </cell>
          <cell r="C24" t="str">
            <v>SINAPI</v>
          </cell>
          <cell r="D24" t="str">
            <v>TAPUME COM TELHA METÁLICA. AF_05/2018</v>
          </cell>
          <cell r="E24" t="str">
            <v>M2</v>
          </cell>
          <cell r="F24">
            <v>95.7</v>
          </cell>
          <cell r="G24" t="str">
            <v>R$ 107,32</v>
          </cell>
          <cell r="H24">
            <v>80.489999999999995</v>
          </cell>
          <cell r="I24">
            <v>7702.893</v>
          </cell>
          <cell r="J24">
            <v>9433.7330570999984</v>
          </cell>
        </row>
        <row r="25">
          <cell r="B25" t="str">
            <v>02.006.0015-0</v>
          </cell>
          <cell r="C25" t="str">
            <v>EMOP</v>
          </cell>
          <cell r="D25" t="str">
            <v>ALUGUEL CONTAINER (MODULO METALICO ICAVEL),P/ESCRITORIO C/WC,MED.APROX.2,30M LARG.6,00M COMPR.E 2,50M ALT.CHAPAS ACO C/NERVURAS TRAPEZOIDAIS,ISOLAMENTO TERMO-ACUSTICO FORRO,CHASSISREFORCADO E PISO COMPENSADO NAVAL,INCLUINDO INST.ELETR.HIDROSSANITARIAS,SUPRIDO ACESSORIOS,1 BACIA SANITARIA E 1 LAVATORIO,EXCL.TRANSP.(04.005.0300),CARGA E DESCARGA (04.013.0015)</v>
          </cell>
          <cell r="E25" t="str">
            <v>UNXMES</v>
          </cell>
          <cell r="F25">
            <v>10</v>
          </cell>
          <cell r="G25" t="str">
            <v>R$ 1.250,00</v>
          </cell>
          <cell r="H25">
            <v>937.5</v>
          </cell>
          <cell r="I25">
            <v>9375</v>
          </cell>
          <cell r="J25">
            <v>11481.562499999998</v>
          </cell>
        </row>
        <row r="26">
          <cell r="B26" t="str">
            <v>02.004.0013-0</v>
          </cell>
          <cell r="C26" t="str">
            <v>EMOP</v>
          </cell>
          <cell r="D26" t="str">
            <v>SANITARIO COM VASO E CHUVEIRO PARA PESSOAL DE OBRA,COLETIVODE 2 UNIDADES E 4,00M2 EXECUTADO COM TABUAS DE MADEIRA DE 3ª,E TELHAS ONDULADAS DE 6MM DE FIBROCIMENTO,INCLUSIVE INSTALACOES,APARELHOS,ESQUADRIAS E FERRAGENS CONSIDERANDO REAPROVEITAMENTO DAS INSTALACOES E APARELHOS 2 VEZES</v>
          </cell>
          <cell r="E26" t="str">
            <v>UN</v>
          </cell>
          <cell r="F26">
            <v>1</v>
          </cell>
          <cell r="G26" t="str">
            <v>R$ 5.176,46</v>
          </cell>
          <cell r="H26">
            <v>3882.3450000000003</v>
          </cell>
          <cell r="I26">
            <v>3882.3450000000003</v>
          </cell>
          <cell r="J26">
            <v>4754.7079215000003</v>
          </cell>
        </row>
        <row r="27">
          <cell r="B27" t="str">
            <v>02.015.0001-0</v>
          </cell>
          <cell r="C27" t="str">
            <v>EMOP</v>
          </cell>
          <cell r="D27" t="str">
            <v>INSTALACAO E LIGACAO PROVISORIA PARA ABASTECIMENTO DE AGUA EESGOTAMENTO SANITARIO EM CANTEIRO DE OBRAS,INCLUSIVE ESCAVACAO,EXCLUSIVE REPOSICAO DA PAVIMENTACAO DO LOGRADOURO PUBLICO</v>
          </cell>
          <cell r="E27" t="str">
            <v>UN</v>
          </cell>
          <cell r="F27">
            <v>1</v>
          </cell>
          <cell r="G27" t="str">
            <v>R$ 4.808,22</v>
          </cell>
          <cell r="H27">
            <v>3606.165</v>
          </cell>
          <cell r="I27">
            <v>3606.165</v>
          </cell>
          <cell r="J27">
            <v>4416.4702754999998</v>
          </cell>
        </row>
        <row r="28">
          <cell r="B28" t="str">
            <v>02.016.0001-0</v>
          </cell>
          <cell r="C28" t="str">
            <v>EMOP</v>
          </cell>
          <cell r="D28" t="str">
            <v>INSTALACAO E LIGACAO PROVISORIA DE ALIMENTACAO DE ENERGIA ELETRICA,EM BAIXA TENSAO,PARA CANTEIRO DE OBRAS,M3-CHAVE 100A,CARGA 3KW,20CV,EXCLUSIVE O FORNECIMENTO DO MEDIDOR</v>
          </cell>
          <cell r="E28" t="str">
            <v>UN</v>
          </cell>
          <cell r="F28">
            <v>1</v>
          </cell>
          <cell r="G28" t="str">
            <v>R$ 2.407,73</v>
          </cell>
          <cell r="H28">
            <v>1805.7975000000001</v>
          </cell>
          <cell r="I28">
            <v>1805.7975000000001</v>
          </cell>
          <cell r="J28">
            <v>2211.5601982499998</v>
          </cell>
        </row>
        <row r="29">
          <cell r="B29">
            <v>103689</v>
          </cell>
          <cell r="C29" t="str">
            <v>SINAPI</v>
          </cell>
          <cell r="D29" t="str">
            <v>FORNECIMENTO E INSTALAÇÃO DE PLACA DE OBRA COM CHAPA GALVANIZADA E ESTRUTURA DE MADEIRA. AF_03/2022_PS</v>
          </cell>
          <cell r="E29" t="str">
            <v>M2</v>
          </cell>
          <cell r="F29">
            <v>8</v>
          </cell>
          <cell r="G29" t="str">
            <v>R$ 479,82</v>
          </cell>
          <cell r="H29">
            <v>359.86500000000001</v>
          </cell>
          <cell r="I29">
            <v>2878.92</v>
          </cell>
          <cell r="J29">
            <v>3525.8133239999997</v>
          </cell>
        </row>
        <row r="30">
          <cell r="D30" t="str">
            <v>MOBILIZAÇÃO DE OBRA</v>
          </cell>
          <cell r="I30">
            <v>1516.8299999999997</v>
          </cell>
          <cell r="J30">
            <v>1857.6617009999995</v>
          </cell>
        </row>
        <row r="31">
          <cell r="B31" t="str">
            <v>04.005.0300-0</v>
          </cell>
          <cell r="C31" t="str">
            <v>EMOP</v>
          </cell>
          <cell r="D31" t="str">
            <v>TRANSPORTE DE CONTAINER,SEGUNDO DESCRICAO DA FAMILIA 02.006,EXCLUSIVE CARGA E DESCARGA(VIDE ITEM 04.013.0015)</v>
          </cell>
          <cell r="E31" t="str">
            <v>UNXKM</v>
          </cell>
          <cell r="F31">
            <v>50</v>
          </cell>
          <cell r="G31" t="str">
            <v>R$ 38,40</v>
          </cell>
          <cell r="H31">
            <v>28.799999999999997</v>
          </cell>
          <cell r="I31">
            <v>1439.9999999999998</v>
          </cell>
          <cell r="J31">
            <v>1763.5679999999995</v>
          </cell>
        </row>
        <row r="32">
          <cell r="B32" t="str">
            <v>04.013.0015-0</v>
          </cell>
          <cell r="C32" t="str">
            <v>EMOP</v>
          </cell>
          <cell r="D32" t="str">
            <v>CARGA E DESCARGA DE CONTAINER,SEGUNDO DESCRICAO DA FAMILIA 02.006</v>
          </cell>
          <cell r="E32" t="str">
            <v>UN</v>
          </cell>
          <cell r="F32">
            <v>1</v>
          </cell>
          <cell r="G32" t="str">
            <v>R$ 102,44</v>
          </cell>
          <cell r="H32">
            <v>76.83</v>
          </cell>
          <cell r="I32">
            <v>76.83</v>
          </cell>
          <cell r="J32">
            <v>94.093700999999996</v>
          </cell>
        </row>
        <row r="33">
          <cell r="D33" t="str">
            <v>SERVICOS COMPLEMENTARES</v>
          </cell>
          <cell r="I33">
            <v>23689.8</v>
          </cell>
          <cell r="J33">
            <v>29012.878059999995</v>
          </cell>
        </row>
        <row r="34">
          <cell r="B34">
            <v>20193</v>
          </cell>
          <cell r="C34" t="str">
            <v>SINAPI</v>
          </cell>
          <cell r="D34" t="str">
            <v>LOCACAO DE ANDAIME METALICO TIPO FACHADEIRO, PECAS COM APROXIMADAMENTE 1,20 M DE LARGURA E 2,0 M DE ALTURA, INCLUINDO DIAGONAIS EM X, BARRAS DE LIGACAO, SAPATAS E DEMAIS ITENS NECESSARIOS A MONTAGEM (NAO INCLUI INSTALACAO)</v>
          </cell>
          <cell r="E34" t="str">
            <v>M2XMES</v>
          </cell>
          <cell r="F34">
            <v>400</v>
          </cell>
          <cell r="G34" t="str">
            <v>R$ 22,50</v>
          </cell>
          <cell r="H34">
            <v>16.875</v>
          </cell>
          <cell r="I34">
            <v>6750</v>
          </cell>
          <cell r="J34">
            <v>8266.7149999999983</v>
          </cell>
        </row>
        <row r="35">
          <cell r="B35">
            <v>10527</v>
          </cell>
          <cell r="C35" t="str">
            <v>SINAPI</v>
          </cell>
          <cell r="D35" t="str">
            <v>LOCACAO DE ANDAIME METALICO TUBULAR DE ENCAIXE, TIPO DE TORRE, CADA PAINEL COM LARGURA DE 1 ATE 1,5 M E ALTURA DE *1,00* M, INCLUINDO DIAGONAL, BARRAS DE LIGACAO, SAPATAS OU RODIZIOS E DEMAIS ITENS NECESSARIOS A MONTAGEM (NAO INCLUI INSTALACAO)</v>
          </cell>
          <cell r="E35" t="str">
            <v>MXMES</v>
          </cell>
          <cell r="F35">
            <v>240</v>
          </cell>
          <cell r="G35" t="str">
            <v>R$ 30,00</v>
          </cell>
          <cell r="H35">
            <v>22.5</v>
          </cell>
          <cell r="I35">
            <v>5400</v>
          </cell>
          <cell r="J35">
            <v>6613.369999999999</v>
          </cell>
        </row>
        <row r="36">
          <cell r="B36">
            <v>97063</v>
          </cell>
          <cell r="C36" t="str">
            <v>SINAPI</v>
          </cell>
          <cell r="D36" t="str">
            <v>MONTAGEM E DESMONTAGEM DE ANDAIME MODULAR FACHADEIRO, COM PISO METÁLICO, PARA EDIFICAÇÕES COM MÚLTIPLOS PAVIMENTOS (EXCLUSIVE ANDAIME E LIMPEZA). AF_11/2017</v>
          </cell>
          <cell r="E36" t="str">
            <v>M2</v>
          </cell>
          <cell r="F36">
            <v>240</v>
          </cell>
          <cell r="G36" t="str">
            <v>R$ 29,81</v>
          </cell>
          <cell r="H36">
            <v>22.357499999999998</v>
          </cell>
          <cell r="I36">
            <v>5365.7999999999993</v>
          </cell>
          <cell r="J36">
            <v>6571.4952599999988</v>
          </cell>
        </row>
        <row r="37">
          <cell r="B37">
            <v>97064</v>
          </cell>
          <cell r="C37" t="str">
            <v>SINAPI</v>
          </cell>
          <cell r="D37" t="str">
            <v>MONTAGEM E DESMONTAGEM DE ANDAIME TUBULAR TIPO “  TORRE” (EXCLUSIVE ANDAIME E LIMPEZA). AF_11/2017</v>
          </cell>
          <cell r="E37" t="str">
            <v>M</v>
          </cell>
          <cell r="F37">
            <v>200</v>
          </cell>
          <cell r="G37" t="str">
            <v>R$ 41,16</v>
          </cell>
          <cell r="H37">
            <v>30.869999999999997</v>
          </cell>
          <cell r="I37">
            <v>6173.9999999999991</v>
          </cell>
          <cell r="J37">
            <v>7561.2977999999985</v>
          </cell>
        </row>
        <row r="38">
          <cell r="D38" t="str">
            <v>CONSTRUÇAO</v>
          </cell>
          <cell r="I38">
            <v>1199296.2217499998</v>
          </cell>
          <cell r="J38">
            <v>1468777.6017772248</v>
          </cell>
        </row>
        <row r="39">
          <cell r="D39" t="str">
            <v>SERVICOS DE ESCRITORIO, LABORATORIO E CAMPO</v>
          </cell>
          <cell r="I39">
            <v>10557.486000000001</v>
          </cell>
          <cell r="J39">
            <v>12929.713104199998</v>
          </cell>
        </row>
        <row r="40">
          <cell r="B40" t="str">
            <v>01.005.0001-0</v>
          </cell>
          <cell r="C40" t="str">
            <v>EMOP</v>
          </cell>
          <cell r="D40" t="str">
            <v>PREPARO MANUAL DE TERRENO,COMPREENDENDO ACERTO,RASPAGEM EVENTUALMENTE ATE 0.30M DE PROFUNDIDADE E AFASTAMENTO LATERAL DOMATERIAL EXCEDENTE,EXCLUSIVE COMPACTACAO</v>
          </cell>
          <cell r="E40" t="str">
            <v>M2</v>
          </cell>
          <cell r="F40">
            <v>390</v>
          </cell>
          <cell r="G40" t="str">
            <v>R$ 10,39</v>
          </cell>
          <cell r="H40">
            <v>7.7925000000000004</v>
          </cell>
          <cell r="I40">
            <v>3039.0750000000003</v>
          </cell>
          <cell r="J40">
            <v>3721.9451524999999</v>
          </cell>
        </row>
        <row r="41">
          <cell r="B41" t="str">
            <v>01.001.0151-0</v>
          </cell>
          <cell r="C41" t="str">
            <v>EMOP</v>
          </cell>
          <cell r="D41" t="str">
            <v>CONTROLE TECNOLOGICO DE OBRAS EM CONCRETO ARMADO CONSIDERANDO APENAS O CONTROLE DO CONCRETO E CONSTANDO DE COLETA,MOLDAGEM E CAPEAMENTO DE CORPOS DE PROVA,TRANSPORTE ATE 100KM,ENSAIOS DE RESISTENCIA A COMPRESSAO AOS 3, 7 E 28 DIAS E "SLUMPTEST",MEDIDO POR M3 DE CONCRETO COLOCADO NAS FORMAS</v>
          </cell>
          <cell r="E41" t="str">
            <v>M3</v>
          </cell>
          <cell r="F41">
            <v>89.12</v>
          </cell>
          <cell r="G41" t="str">
            <v>R$ 32,65</v>
          </cell>
          <cell r="H41">
            <v>24.487499999999997</v>
          </cell>
          <cell r="I41">
            <v>2182.326</v>
          </cell>
          <cell r="J41">
            <v>2672.6846521999996</v>
          </cell>
        </row>
        <row r="42">
          <cell r="B42">
            <v>99059</v>
          </cell>
          <cell r="C42" t="str">
            <v>SINAPI</v>
          </cell>
          <cell r="D42" t="str">
            <v>LOCACAO CONVENCIONAL DE OBRA, UTILIZANDO GABARITO DE TÁBUAS CORRIDAS PONTALETADAS A CADA 2,00M -  2 UTILIZAÇÕES. AF_10/2018</v>
          </cell>
          <cell r="E42" t="str">
            <v>M</v>
          </cell>
          <cell r="F42">
            <v>86</v>
          </cell>
          <cell r="G42" t="str">
            <v>R$ 82,73</v>
          </cell>
          <cell r="H42">
            <v>62.047499999999999</v>
          </cell>
          <cell r="I42">
            <v>5336.085</v>
          </cell>
          <cell r="J42">
            <v>6535.0932994999994</v>
          </cell>
        </row>
        <row r="43">
          <cell r="D43" t="str">
            <v>MOVIMENTO DE TERRA</v>
          </cell>
          <cell r="I43">
            <v>20491.498800000001</v>
          </cell>
          <cell r="J43">
            <v>25095.918580359998</v>
          </cell>
        </row>
        <row r="44">
          <cell r="B44">
            <v>96523</v>
          </cell>
          <cell r="C44" t="str">
            <v>SINAPI</v>
          </cell>
          <cell r="D44" t="str">
            <v>ESCAVAÇÃO MANUAL PARA BLOCO DE COROAMENTO OU SAPATA (INCLUINDO ESCAVAÇÃO PARA COLOCAÇÃO DE FÔRMAS). AF_01/2024</v>
          </cell>
          <cell r="E44" t="str">
            <v>M3</v>
          </cell>
          <cell r="F44">
            <v>79.78</v>
          </cell>
          <cell r="G44" t="str">
            <v>R$ 136,85</v>
          </cell>
          <cell r="H44">
            <v>102.63749999999999</v>
          </cell>
          <cell r="I44">
            <v>8188.4197499999991</v>
          </cell>
          <cell r="J44">
            <v>10028.337667824997</v>
          </cell>
        </row>
        <row r="45">
          <cell r="B45">
            <v>93358</v>
          </cell>
          <cell r="C45" t="str">
            <v>SINAPI</v>
          </cell>
          <cell r="D45" t="str">
            <v>ESCAVAÇÃO MANUAL DE VALA COM PROFUNDIDADE MENOR OU IGUAL A 1,30 M. AF_02/2021</v>
          </cell>
          <cell r="E45" t="str">
            <v>M3</v>
          </cell>
          <cell r="F45">
            <v>29.56</v>
          </cell>
          <cell r="G45" t="str">
            <v>R$ 124,17</v>
          </cell>
          <cell r="H45">
            <v>93.127499999999998</v>
          </cell>
          <cell r="I45">
            <v>2752.8489</v>
          </cell>
          <cell r="J45">
            <v>3371.4140478299996</v>
          </cell>
        </row>
        <row r="46">
          <cell r="B46">
            <v>101619</v>
          </cell>
          <cell r="C46" t="str">
            <v>SINAPI</v>
          </cell>
          <cell r="D46" t="str">
            <v>PREPARO DE FUNDO DE VALA COM LARGURA MENOR QUE 1,5 M, COM CAMADA DE BRITA, LANÇAMENTO MANUAL. AF_08/2020</v>
          </cell>
          <cell r="E46" t="str">
            <v>M3</v>
          </cell>
          <cell r="F46">
            <v>1.67</v>
          </cell>
          <cell r="G46" t="str">
            <v>R$ 361,34</v>
          </cell>
          <cell r="H46">
            <v>271.005</v>
          </cell>
          <cell r="I46">
            <v>452.57835</v>
          </cell>
          <cell r="J46">
            <v>554.272705245</v>
          </cell>
        </row>
        <row r="47">
          <cell r="B47">
            <v>93382</v>
          </cell>
          <cell r="C47" t="str">
            <v>SINAPI</v>
          </cell>
          <cell r="D47" t="str">
            <v>REATERRO MANUAL DE VALAS, COM COMPACTADOR DE SOLOS DE PERCUSSÃO. AF_08/2023</v>
          </cell>
          <cell r="E47" t="str">
            <v>M3</v>
          </cell>
          <cell r="F47">
            <v>99.28</v>
          </cell>
          <cell r="G47" t="str">
            <v>R$ 36,58</v>
          </cell>
          <cell r="H47">
            <v>27.434999999999999</v>
          </cell>
          <cell r="I47">
            <v>2723.7467999999999</v>
          </cell>
          <cell r="J47">
            <v>3335.7727059599997</v>
          </cell>
        </row>
        <row r="48">
          <cell r="B48">
            <v>94319</v>
          </cell>
          <cell r="C48" t="str">
            <v>SINAPI</v>
          </cell>
          <cell r="D48" t="str">
            <v>ATERRO MANUAL DE VALAS COM SOLO ARGILO-ARENOSO. AF_08/2023</v>
          </cell>
          <cell r="E48" t="str">
            <v>M3</v>
          </cell>
          <cell r="F48">
            <v>94</v>
          </cell>
          <cell r="G48" t="str">
            <v>R$ 90,41</v>
          </cell>
          <cell r="H48">
            <v>67.807500000000005</v>
          </cell>
          <cell r="I48">
            <v>6373.9050000000007</v>
          </cell>
          <cell r="J48">
            <v>7806.1214534999999</v>
          </cell>
        </row>
        <row r="49">
          <cell r="D49" t="str">
            <v>TRANSPORTES</v>
          </cell>
          <cell r="I49">
            <v>5881.0868250000003</v>
          </cell>
          <cell r="J49">
            <v>7202.5670345774988</v>
          </cell>
        </row>
        <row r="50">
          <cell r="B50" t="str">
            <v>04.005.0103-0</v>
          </cell>
          <cell r="C50" t="str">
            <v>EMOP</v>
          </cell>
          <cell r="D50" t="str">
            <v>TRANSPORTE DE CARGA DE QUALQUER NATUREZA,EXCLUSIVE AS DESPESAS DE CARGA E DESCARGA,TANTO DE ESPERA DO CAMINHAO COMO DO SERVENTE OU EQUIPAMENTO AUXILIAR,A VELOCIDADE MEDIA DE 30KM/H,EM CAMINHAO DE CARROCERIA FIXA A OLEO DIESEL,COM CAPACIDADEUTIL DE 7,5T,CONSIDERANDO O CAMINHAO EQUIPADO COM GUINDAUTODE 3,5T</v>
          </cell>
          <cell r="E50" t="str">
            <v>T X KM</v>
          </cell>
          <cell r="F50">
            <v>582.03</v>
          </cell>
          <cell r="G50" t="str">
            <v>R$ 2,32</v>
          </cell>
          <cell r="H50">
            <v>1.7399999999999998</v>
          </cell>
          <cell r="I50">
            <v>1012.7321999999998</v>
          </cell>
          <cell r="J50">
            <v>1240.2931253399997</v>
          </cell>
        </row>
        <row r="51">
          <cell r="B51" t="str">
            <v>04.009.0023-0</v>
          </cell>
          <cell r="C51" t="str">
            <v>EMOP</v>
          </cell>
          <cell r="D51" t="str">
            <v>CARGA E DESCARGA MECANICA DE TUBOS DE FERRO FUNDIDO,COM O DIAMETRO DE 60 A 80CM,INCLUSIVE O TEMPO DE CARGA E DESCARGA EMANOBRA DO CAMINHAO DE CARROCERIA FIXA A OLEO DIESEL,COM CAPACIDADE UTIL DE 7,5T,INCLUSIVE OS MESMOS TEMPOS DE GUINDAUTO,DE 4T</v>
          </cell>
          <cell r="E51" t="str">
            <v>T</v>
          </cell>
          <cell r="F51">
            <v>11.64</v>
          </cell>
          <cell r="G51" t="str">
            <v>R$ 121,99</v>
          </cell>
          <cell r="H51">
            <v>91.492499999999993</v>
          </cell>
          <cell r="I51">
            <v>1064.9727</v>
          </cell>
          <cell r="J51">
            <v>1304.2720656899999</v>
          </cell>
        </row>
        <row r="52">
          <cell r="B52" t="str">
            <v>05.001.0171-0</v>
          </cell>
          <cell r="C52" t="str">
            <v>EMOP</v>
          </cell>
          <cell r="D52" t="str">
            <v>TRANSPORTE HORIZONTAL DE MATERIAL DE 1ªCATEGORIA OU ENTULHO,EM CARRINHOS,A 20,00M DE DISTANCIA,INCLUSIVE CARGA A PA</v>
          </cell>
          <cell r="E52" t="str">
            <v>M3</v>
          </cell>
          <cell r="F52">
            <v>49.69</v>
          </cell>
          <cell r="G52" t="str">
            <v>R$ 29,11</v>
          </cell>
          <cell r="H52">
            <v>21.8325</v>
          </cell>
          <cell r="I52">
            <v>1084.8569249999998</v>
          </cell>
          <cell r="J52">
            <v>1328.6242760474997</v>
          </cell>
        </row>
        <row r="53">
          <cell r="B53" t="str">
            <v>04.014.0095-0</v>
          </cell>
          <cell r="C53" t="str">
            <v>EMOP</v>
          </cell>
          <cell r="D53" t="str">
            <v>RETIRADA DE ENTULHO DE OBRA COM CACAMBA DE ACO TIPO CONTAINER COM 5M3 DE CAPACIDADE,INCLUSIVE CARREGAMENTO,TRANSPORTE EDESCARREGAMENTO.CUSTO POR UNIDADE DE CACAMBA E INCLUI A TAXA PARA DESCARGA EM LOCAIS AUTORIZADOS</v>
          </cell>
          <cell r="E53" t="str">
            <v>UN</v>
          </cell>
          <cell r="F53">
            <v>10</v>
          </cell>
          <cell r="G53" t="str">
            <v>R$ 362,47</v>
          </cell>
          <cell r="H53">
            <v>271.85250000000002</v>
          </cell>
          <cell r="I53">
            <v>2718.5250000000001</v>
          </cell>
          <cell r="J53">
            <v>3329.3775674999997</v>
          </cell>
        </row>
        <row r="54">
          <cell r="D54" t="str">
            <v>DEMOLIÇÕES</v>
          </cell>
          <cell r="I54">
            <v>40485.210750000006</v>
          </cell>
          <cell r="J54">
            <v>49582.237605524992</v>
          </cell>
        </row>
        <row r="55">
          <cell r="B55" t="str">
            <v>05.001.0002-1</v>
          </cell>
          <cell r="C55" t="str">
            <v>EMOP</v>
          </cell>
          <cell r="D55" t="str">
            <v>DEMOLICAO MANUAL DE CONCRETO ARMADO COMPREENDENDO PILARES,VIGAS E LAJES,EM ESTRUTURA APRESENTANDO POSICAO ESPECIAL,INCLUSIVE EMPILHAMENTO LATERAL DENTRO DO CANTEIRO DE SERVICO</v>
          </cell>
          <cell r="E55" t="str">
            <v>M3</v>
          </cell>
          <cell r="F55">
            <v>45.7</v>
          </cell>
          <cell r="G55" t="str">
            <v>R$ 393,30</v>
          </cell>
          <cell r="H55">
            <v>294.97500000000002</v>
          </cell>
          <cell r="I55">
            <v>13480.357500000002</v>
          </cell>
          <cell r="J55">
            <v>16509.393830249999</v>
          </cell>
        </row>
        <row r="56">
          <cell r="B56" t="str">
            <v>05.002.0065-0</v>
          </cell>
          <cell r="C56" t="str">
            <v>EMOP</v>
          </cell>
          <cell r="D56" t="str">
            <v>DEMOLICAO E REMOCAO DE ESTRUTURAS METALICAS TRELICADAS DE VERGALHOES E/OU PERFIS LEVES DE ACO,MEDIDAS PELO PESO REMOVIDO</v>
          </cell>
          <cell r="E56" t="str">
            <v>KG</v>
          </cell>
          <cell r="F56">
            <v>11640.78</v>
          </cell>
          <cell r="G56" t="str">
            <v>R$ 3,07</v>
          </cell>
          <cell r="H56">
            <v>2.3024999999999998</v>
          </cell>
          <cell r="I56">
            <v>26802.895949999998</v>
          </cell>
          <cell r="J56">
            <v>32825.506669964998</v>
          </cell>
        </row>
        <row r="57">
          <cell r="B57">
            <v>97622</v>
          </cell>
          <cell r="C57" t="str">
            <v>SINAPI</v>
          </cell>
          <cell r="D57" t="str">
            <v>DEMOLIÇÃO DE ALVENARIA DE BLOCO FURADO, DE FORMA MANUAL, SEM REAPROVEITAMENTO. AF_09/2023</v>
          </cell>
          <cell r="E57" t="str">
            <v>M3</v>
          </cell>
          <cell r="F57">
            <v>3.24</v>
          </cell>
          <cell r="G57" t="str">
            <v>R$ 83,11</v>
          </cell>
          <cell r="H57">
            <v>62.332499999999996</v>
          </cell>
          <cell r="I57">
            <v>201.9573</v>
          </cell>
          <cell r="J57">
            <v>247.33710531</v>
          </cell>
        </row>
        <row r="58">
          <cell r="D58" t="str">
            <v>SERVICOS COMPLEMENTARES</v>
          </cell>
          <cell r="I58">
            <v>12784.448025</v>
          </cell>
          <cell r="J58">
            <v>15657.113496217497</v>
          </cell>
        </row>
        <row r="59">
          <cell r="B59">
            <v>99825</v>
          </cell>
          <cell r="C59" t="str">
            <v>SINAPI</v>
          </cell>
          <cell r="D59" t="str">
            <v>LIMPEZA DE PORTA DE VIDRO COM CAIXILHO EM AÇO/ ALUMÍNIO/ PVC. AF_04/2019</v>
          </cell>
          <cell r="E59" t="str">
            <v>M2</v>
          </cell>
          <cell r="F59">
            <v>51.05</v>
          </cell>
          <cell r="G59" t="str">
            <v>R$ 4,87</v>
          </cell>
          <cell r="H59">
            <v>3.6524999999999999</v>
          </cell>
          <cell r="I59">
            <v>186.46012499999998</v>
          </cell>
          <cell r="J59">
            <v>228.35771508749994</v>
          </cell>
        </row>
        <row r="60">
          <cell r="B60">
            <v>99821</v>
          </cell>
          <cell r="C60" t="str">
            <v>SINAPI</v>
          </cell>
          <cell r="D60" t="str">
            <v>LIMPEZA DE JANELA DE VIDRO COM CAIXILHO EM AÇO/ALUMÍNIO/PVC. AF_04/2019</v>
          </cell>
          <cell r="E60" t="str">
            <v>M2</v>
          </cell>
          <cell r="F60">
            <v>64.17</v>
          </cell>
          <cell r="G60" t="str">
            <v>R$ 4,11</v>
          </cell>
          <cell r="H60">
            <v>3.0825000000000005</v>
          </cell>
          <cell r="I60">
            <v>197.80402500000002</v>
          </cell>
          <cell r="J60">
            <v>242.25058941750001</v>
          </cell>
        </row>
        <row r="61">
          <cell r="B61">
            <v>99803</v>
          </cell>
          <cell r="C61" t="str">
            <v>SINAPI</v>
          </cell>
          <cell r="D61" t="str">
            <v>LIMPEZA DE PISO CERÂMICO OU PORCELANATO COM PANO ÚMIDO. AF_04/2019</v>
          </cell>
          <cell r="E61" t="str">
            <v>M2</v>
          </cell>
          <cell r="F61">
            <v>205</v>
          </cell>
          <cell r="G61" t="str">
            <v>R$ 3,04</v>
          </cell>
          <cell r="H61">
            <v>2.2800000000000002</v>
          </cell>
          <cell r="I61">
            <v>467.40000000000003</v>
          </cell>
          <cell r="J61">
            <v>572.42477999999994</v>
          </cell>
        </row>
        <row r="62">
          <cell r="B62">
            <v>99818</v>
          </cell>
          <cell r="C62" t="str">
            <v>SINAPI</v>
          </cell>
          <cell r="D62" t="str">
            <v>LIMPEZA DE BACIA SANITÁRIA, BIDÊ OU MICTÓRIO EM LOUÇA, INCLUSIVE METAIS CORRESPONDENTES. AF_04/2019</v>
          </cell>
          <cell r="E62" t="str">
            <v>UN</v>
          </cell>
          <cell r="F62">
            <v>18</v>
          </cell>
          <cell r="G62" t="str">
            <v>R$ 7,15</v>
          </cell>
          <cell r="H62">
            <v>5.3625000000000007</v>
          </cell>
          <cell r="I62">
            <v>96.525000000000006</v>
          </cell>
          <cell r="J62">
            <v>118.2141675</v>
          </cell>
        </row>
        <row r="63">
          <cell r="B63">
            <v>99813</v>
          </cell>
          <cell r="C63" t="str">
            <v>SINAPI</v>
          </cell>
          <cell r="D63" t="str">
            <v>LIMPEZA DE MÁRMORE/GRANITO EM PAREDE UTILIZANDO DETERGENTE NEUTRO E ESCOVAÇÃO MANUAL. AF_04/2019</v>
          </cell>
          <cell r="E63" t="str">
            <v>M2</v>
          </cell>
          <cell r="F63">
            <v>40.6</v>
          </cell>
          <cell r="G63" t="str">
            <v>R$ 1,39</v>
          </cell>
          <cell r="H63">
            <v>1.0425</v>
          </cell>
          <cell r="I63">
            <v>42.325499999999998</v>
          </cell>
          <cell r="J63">
            <v>51.836039849999992</v>
          </cell>
        </row>
        <row r="64">
          <cell r="B64">
            <v>99807</v>
          </cell>
          <cell r="C64" t="str">
            <v>SINAPI</v>
          </cell>
          <cell r="D64" t="str">
            <v>LIMPEZA DE REVESTIMENTO CERÂMICO EM PAREDE UTILIZANDO DETERGENTE NEUTRO E ESCOVAÇÃO MANUAL. AF_04/2019</v>
          </cell>
          <cell r="E64" t="str">
            <v>M2</v>
          </cell>
          <cell r="F64">
            <v>450.85</v>
          </cell>
          <cell r="G64" t="str">
            <v>R$ 2,37</v>
          </cell>
          <cell r="H64">
            <v>1.7775000000000001</v>
          </cell>
          <cell r="I64">
            <v>801.38587500000006</v>
          </cell>
          <cell r="J64">
            <v>981.45728111250003</v>
          </cell>
        </row>
        <row r="65">
          <cell r="B65" t="str">
            <v>05.055.0010-0</v>
          </cell>
          <cell r="C65" t="str">
            <v>EMOP</v>
          </cell>
          <cell r="D65" t="str">
            <v>LETRA CAIXA DE ACO INOX POLIDO OU ESCOVADO,COM 20CM DE ALTURA,ESPESSURA DE 2CM,COM PINOS PARA FIXACAO.FORNECIMENTO E COLOCACAO</v>
          </cell>
          <cell r="E65" t="str">
            <v>UN</v>
          </cell>
          <cell r="F65">
            <v>120</v>
          </cell>
          <cell r="G65" t="str">
            <v>R$ 120,34</v>
          </cell>
          <cell r="H65">
            <v>90.254999999999995</v>
          </cell>
          <cell r="I65">
            <v>10830.599999999999</v>
          </cell>
          <cell r="J65">
            <v>13264.235819999996</v>
          </cell>
        </row>
        <row r="66">
          <cell r="B66" t="str">
            <v>05.058.0010-0</v>
          </cell>
          <cell r="C66" t="str">
            <v>EMOP</v>
          </cell>
          <cell r="D66" t="str">
            <v>PLASTICO NA COR PRETA,DESTINADO A PROTECAO DE TELHADOS,MOVEIS E PISOS,COM 0,15MM DE ESPESSURA,REUTILIZADO 5 VEZES,INCLUSIVE RETIRADA.FORNECIMENTO E COLOCACAO</v>
          </cell>
          <cell r="E66" t="str">
            <v>M2</v>
          </cell>
          <cell r="F66">
            <v>143</v>
          </cell>
          <cell r="G66" t="str">
            <v>R$ 1,51</v>
          </cell>
          <cell r="H66">
            <v>1.1325000000000001</v>
          </cell>
          <cell r="I66">
            <v>161.94750000000002</v>
          </cell>
          <cell r="J66">
            <v>198.33710325000001</v>
          </cell>
        </row>
        <row r="67">
          <cell r="D67" t="str">
            <v>BASES E PAVIMENTOS</v>
          </cell>
          <cell r="I67">
            <v>11748.03075</v>
          </cell>
          <cell r="J67">
            <v>14387.803259524999</v>
          </cell>
        </row>
        <row r="68">
          <cell r="B68">
            <v>92398</v>
          </cell>
          <cell r="C68" t="str">
            <v>SINAPI</v>
          </cell>
          <cell r="D68" t="str">
            <v>EXECUÇÃO DE PAVIMENTO EM PISO INTERTRAVADO, COM BLOCO RETANGULAR COR NATURAL DE 20 X 10 CM, ESPESSURA 8 CM. AF_10/2022</v>
          </cell>
          <cell r="E68" t="str">
            <v>M2</v>
          </cell>
          <cell r="F68">
            <v>158.94999999999999</v>
          </cell>
          <cell r="G68" t="str">
            <v>R$ 93,98</v>
          </cell>
          <cell r="H68">
            <v>70.484999999999999</v>
          </cell>
          <cell r="I68">
            <v>11203.590749999999</v>
          </cell>
          <cell r="J68">
            <v>13721.027591524999</v>
          </cell>
        </row>
        <row r="69">
          <cell r="B69">
            <v>94279</v>
          </cell>
          <cell r="C69" t="str">
            <v>SINAPI</v>
          </cell>
          <cell r="D69" t="str">
            <v>ASSENTAMENTO DE GUIA (MEIO-FIO) EM TRECHO RETO, CONFECCIONADA EM CONCRETO PRÉ-FABRICADO, DIMENSÕES 39X6,5X6,5X19 CM (COMPRIMENTO X BASE INFERIOR X BASE SUPERIOR X ALTURA), PARA DELIMITAÇÃO DE JARDINS, PRAÇAS OU PASSEIOS. AF_01/2024</v>
          </cell>
          <cell r="E69" t="str">
            <v>M</v>
          </cell>
          <cell r="F69">
            <v>13</v>
          </cell>
          <cell r="G69" t="str">
            <v>R$ 55,84</v>
          </cell>
          <cell r="H69">
            <v>41.88</v>
          </cell>
          <cell r="I69">
            <v>544.44000000000005</v>
          </cell>
          <cell r="J69">
            <v>666.775668</v>
          </cell>
        </row>
        <row r="70">
          <cell r="D70" t="str">
            <v>FUNDACOES</v>
          </cell>
          <cell r="I70">
            <v>76424.392499999987</v>
          </cell>
          <cell r="J70">
            <v>93596.933494749988</v>
          </cell>
        </row>
        <row r="71">
          <cell r="B71" t="str">
            <v>01.002.0042-0</v>
          </cell>
          <cell r="C71" t="str">
            <v>EMOP</v>
          </cell>
          <cell r="D71" t="str">
            <v>PERFURACAO ROTATIVA COM COROA DE WIDIA,EM SOLO,DIAMETRO 8",VERTICAL,INCLUSIVE DESLOCAMENTO DENTRO DO CANTEIRO E INSTALACAO DA SONDA EM CADA FURO</v>
          </cell>
          <cell r="E71" t="str">
            <v>M</v>
          </cell>
          <cell r="F71">
            <v>168</v>
          </cell>
          <cell r="G71" t="str">
            <v>R$ 232,38</v>
          </cell>
          <cell r="H71">
            <v>174.285</v>
          </cell>
          <cell r="I71">
            <v>29279.88</v>
          </cell>
          <cell r="J71">
            <v>35859.069036000001</v>
          </cell>
        </row>
        <row r="72">
          <cell r="B72" t="str">
            <v>01.002.0081-0</v>
          </cell>
          <cell r="C72" t="str">
            <v>EMOP</v>
          </cell>
          <cell r="D72" t="str">
            <v>PERFURACAO ROTATIVA COM COROA DE WIDIA,EM ROCHA SA,DIAMETRO8",VERTICAL,INCLUSIVE DESLOCAMENTO DENTRO DO CANTEIRO E INSTALACAO DA SONDA EM CADA FURO</v>
          </cell>
          <cell r="E72" t="str">
            <v>M</v>
          </cell>
          <cell r="F72">
            <v>24</v>
          </cell>
          <cell r="G72" t="str">
            <v>R$ 727,03</v>
          </cell>
          <cell r="H72">
            <v>545.27250000000004</v>
          </cell>
          <cell r="I72">
            <v>13086.54</v>
          </cell>
          <cell r="J72">
            <v>16027.075537999999</v>
          </cell>
        </row>
        <row r="73">
          <cell r="B73" t="str">
            <v>01.008.0050-0</v>
          </cell>
          <cell r="C73" t="str">
            <v>EMOP</v>
          </cell>
          <cell r="D73" t="str">
            <v>MOBILIZACAO E DESMOBILIZACAO DE EQUIPAMENTO E EQUIPE DE SONDAGEM E PERFURACAO A PERCUSSAO,COM TRANSPORTE ATE 50KM</v>
          </cell>
          <cell r="E73" t="str">
            <v>UN</v>
          </cell>
          <cell r="F73">
            <v>1</v>
          </cell>
          <cell r="G73" t="str">
            <v>R$ 8.404,79</v>
          </cell>
          <cell r="H73">
            <v>6303.5925000000007</v>
          </cell>
          <cell r="I73">
            <v>6303.5925000000007</v>
          </cell>
          <cell r="J73">
            <v>7720.0097347500005</v>
          </cell>
        </row>
        <row r="74">
          <cell r="B74" t="str">
            <v>10.003.0030-0</v>
          </cell>
          <cell r="C74" t="str">
            <v>EMOP</v>
          </cell>
          <cell r="D74" t="str">
            <v>ESTACA RAIZ COM DIAMETRO DE 8" PARA CARGA DE 50T,INJECAO DEARGAMASSA DE CIMENTO E AREIA,COM RESISTENCIA DE 20MPA,CONFORME ABNT NBR 6122,INCLUSIVE O FORNECIMENTO DOS MATERIAIS (CIMENTO,AREIA E ACO),EXCLUSIVE PERFURACAO</v>
          </cell>
          <cell r="E74" t="str">
            <v>M</v>
          </cell>
          <cell r="F74">
            <v>192</v>
          </cell>
          <cell r="G74" t="str">
            <v>R$ 145,49</v>
          </cell>
          <cell r="H74">
            <v>109.11750000000001</v>
          </cell>
          <cell r="I74">
            <v>20950.560000000001</v>
          </cell>
          <cell r="J74">
            <v>25658.140832000001</v>
          </cell>
        </row>
        <row r="75">
          <cell r="B75" t="str">
            <v>10.012.0155-0</v>
          </cell>
          <cell r="C75" t="str">
            <v>EMOP</v>
          </cell>
          <cell r="D75" t="str">
            <v>ARRASAMENTO DE ESTACA RAIZ DE 8" A 10" DE DIAMETRO</v>
          </cell>
          <cell r="E75" t="str">
            <v>UN</v>
          </cell>
          <cell r="F75">
            <v>24</v>
          </cell>
          <cell r="G75" t="str">
            <v>R$ 280,55</v>
          </cell>
          <cell r="H75">
            <v>210.41250000000002</v>
          </cell>
          <cell r="I75">
            <v>5049.9000000000005</v>
          </cell>
          <cell r="J75">
            <v>6184.6125300000003</v>
          </cell>
        </row>
        <row r="76">
          <cell r="B76">
            <v>101173</v>
          </cell>
          <cell r="C76" t="str">
            <v>SINAPI</v>
          </cell>
          <cell r="D76" t="str">
            <v>ESTACA BROCA DE CONCRETO, DIÂMETRO DE 20CM, ESCAVAÇÃO MANUAL COM TRADO CONCHA, COM ARMADURA DE ARRANQUE. AF_05/2020</v>
          </cell>
          <cell r="E76" t="str">
            <v>M</v>
          </cell>
          <cell r="F76">
            <v>32</v>
          </cell>
          <cell r="G76" t="str">
            <v>R$ 73,08</v>
          </cell>
          <cell r="H76">
            <v>54.81</v>
          </cell>
          <cell r="I76">
            <v>1753.92</v>
          </cell>
          <cell r="J76">
            <v>2148.0258239999998</v>
          </cell>
        </row>
        <row r="77">
          <cell r="D77" t="str">
            <v>ESTRUTURAS</v>
          </cell>
          <cell r="I77">
            <v>240954.35850000009</v>
          </cell>
          <cell r="J77">
            <v>295096.72285495</v>
          </cell>
        </row>
        <row r="78">
          <cell r="B78">
            <v>102473</v>
          </cell>
          <cell r="C78" t="str">
            <v>SINAPI</v>
          </cell>
          <cell r="D78" t="str">
            <v>CONCRETO MAGRO PARA LASTRO, TRAÇO 1:4,5:4,5 (EM MASSA SECA DE CIMENTO/ AREIA MÉDIA/ SEIXO ROLADO) - PREPARO MECÂNICO COM BETONEIRA 400 L. AF_05/2021</v>
          </cell>
          <cell r="E78" t="str">
            <v>M3</v>
          </cell>
          <cell r="F78">
            <v>1.67</v>
          </cell>
          <cell r="G78" t="str">
            <v>R$ 553,44</v>
          </cell>
          <cell r="H78">
            <v>415.08000000000004</v>
          </cell>
          <cell r="I78">
            <v>693.18360000000007</v>
          </cell>
          <cell r="J78">
            <v>848.94195492000006</v>
          </cell>
        </row>
        <row r="79">
          <cell r="B79">
            <v>96540</v>
          </cell>
          <cell r="C79" t="str">
            <v>SINAPI</v>
          </cell>
          <cell r="D79" t="str">
            <v>FABRICAÇÃO, MONTAGEM E DESMONTAGEM DE FÔRMA PARA BLOCO DE COROAMENTO, EM CHAPA DE MADEIRA COMPENSADA RESINADA, E=17 MM, 4 UTILIZAÇÕES. AF_01/2024</v>
          </cell>
          <cell r="E79" t="str">
            <v>M2</v>
          </cell>
          <cell r="F79">
            <v>58.1</v>
          </cell>
          <cell r="G79" t="str">
            <v>R$ 162,17</v>
          </cell>
          <cell r="H79">
            <v>121.6275</v>
          </cell>
          <cell r="I79">
            <v>7066.5577499999999</v>
          </cell>
          <cell r="J79">
            <v>8654.4032764249987</v>
          </cell>
        </row>
        <row r="80">
          <cell r="B80">
            <v>96536</v>
          </cell>
          <cell r="C80" t="str">
            <v>SINAPI</v>
          </cell>
          <cell r="D80" t="str">
            <v>FABRICAÇÃO, MONTAGEM E DESMONTAGEM DE FÔRMA PARA VIGA BALDRAME, EM MADEIRA SERRADA, E=25 MM, 4 UTILIZAÇÕES. AF_01/2024</v>
          </cell>
          <cell r="E80" t="str">
            <v>M2</v>
          </cell>
          <cell r="F80">
            <v>242.3</v>
          </cell>
          <cell r="G80" t="str">
            <v>R$ 85,85</v>
          </cell>
          <cell r="H80">
            <v>64.387499999999989</v>
          </cell>
          <cell r="I80">
            <v>15601.091249999998</v>
          </cell>
          <cell r="J80">
            <v>19106.656453874995</v>
          </cell>
        </row>
        <row r="81">
          <cell r="B81">
            <v>92419</v>
          </cell>
          <cell r="C81" t="str">
            <v>SINAPI</v>
          </cell>
          <cell r="D81" t="str">
            <v>MONTAGEM E DESMONTAGEM DE FÔRMA DE PILARES RETANGULARES E ESTRUTURAS SIMILARES, PÉ-DIREITO SIMPLES, EM CHAPA DE MADEIRA COMPENSADA RESINADA, 4 UTILIZAÇÕES. AF_09/2020</v>
          </cell>
          <cell r="E81" t="str">
            <v>M2</v>
          </cell>
          <cell r="F81">
            <v>192</v>
          </cell>
          <cell r="G81" t="str">
            <v>R$ 108,06</v>
          </cell>
          <cell r="H81">
            <v>81.045000000000002</v>
          </cell>
          <cell r="I81">
            <v>15560.64</v>
          </cell>
          <cell r="J81">
            <v>19057.105808</v>
          </cell>
        </row>
        <row r="82">
          <cell r="B82">
            <v>92455</v>
          </cell>
          <cell r="C82" t="str">
            <v>SINAPI</v>
          </cell>
          <cell r="D82" t="str">
            <v>MONTAGEM E DESMONTAGEM DE FÔRMA DE VIGA, ESCORAMENTO COM GARFO DE MADEIRA, PÉ-DIREITO SIMPLES, EM CHAPA DE MADEIRA RESINADA, 4 UTILIZAÇÕES. AF_09/2020</v>
          </cell>
          <cell r="E82" t="str">
            <v>M2</v>
          </cell>
          <cell r="F82">
            <v>224.9</v>
          </cell>
          <cell r="G82" t="str">
            <v>R$ 179,40</v>
          </cell>
          <cell r="H82">
            <v>134.55000000000001</v>
          </cell>
          <cell r="I82">
            <v>30260.295000000002</v>
          </cell>
          <cell r="J82">
            <v>37059.783286500002</v>
          </cell>
        </row>
        <row r="83">
          <cell r="B83">
            <v>92510</v>
          </cell>
          <cell r="C83" t="str">
            <v>SINAPI</v>
          </cell>
          <cell r="D83" t="str">
            <v>MONTAGEM E DESMONTAGEM DE FÔRMA DE LAJE MACIÇA, PÉ-DIREITO SIMPLES, EM CHAPA DE MADEIRA COMPENSADA RESINADA, 2 UTILIZAÇÕES. AF_09/2020</v>
          </cell>
          <cell r="E83" t="str">
            <v>M2</v>
          </cell>
          <cell r="F83">
            <v>257.39999999999998</v>
          </cell>
          <cell r="G83" t="str">
            <v>R$ 75,31</v>
          </cell>
          <cell r="H83">
            <v>56.482500000000002</v>
          </cell>
          <cell r="I83">
            <v>14538.595499999999</v>
          </cell>
          <cell r="J83">
            <v>17805.417908849999</v>
          </cell>
        </row>
        <row r="84">
          <cell r="B84">
            <v>101792</v>
          </cell>
          <cell r="C84" t="str">
            <v>SINAPI</v>
          </cell>
          <cell r="D84" t="str">
            <v>ESCORAMENTO DE FÔRMAS DE LAJE EM MADEIRA NÃO APARELHADA, PÉ-DIREITO SIMPLES, INCLUSO TRAVAMENTO, 4 UTILIZAÇÕES. AF_09/2020</v>
          </cell>
          <cell r="E84" t="str">
            <v>M3</v>
          </cell>
          <cell r="F84">
            <v>749.34</v>
          </cell>
          <cell r="G84" t="str">
            <v>R$ 20,91</v>
          </cell>
          <cell r="H84">
            <v>15.682500000000001</v>
          </cell>
          <cell r="I84">
            <v>11751.524550000002</v>
          </cell>
          <cell r="J84">
            <v>14392.082116385001</v>
          </cell>
        </row>
        <row r="85">
          <cell r="B85">
            <v>92759</v>
          </cell>
          <cell r="C85" t="str">
            <v>SINAPI</v>
          </cell>
          <cell r="D85" t="str">
            <v>ARMAÇÃO DE PILAR OU VIGA DE ESTRUTURA CONVENCIONAL DE CONCRETO ARMADO UTILIZANDO AÇO CA-60 DE 5,0 MM - MONTAGEM. AF_06/2022</v>
          </cell>
          <cell r="E85" t="str">
            <v>KG</v>
          </cell>
          <cell r="F85">
            <v>736.1</v>
          </cell>
          <cell r="G85" t="str">
            <v>R$ 16,69</v>
          </cell>
          <cell r="H85">
            <v>12.517500000000002</v>
          </cell>
          <cell r="I85">
            <v>9214.1317500000023</v>
          </cell>
          <cell r="J85">
            <v>11284.547154225002</v>
          </cell>
        </row>
        <row r="86">
          <cell r="B86">
            <v>92760</v>
          </cell>
          <cell r="C86" t="str">
            <v>SINAPI</v>
          </cell>
          <cell r="D86" t="str">
            <v>ARMAÇÃO DE PILAR OU VIGA DE ESTRUTURA CONVENCIONAL DE CONCRETO ARMADO UTILIZANDO AÇO CA-50 DE 6,3 MM - MONTAGEM. AF_06/2022</v>
          </cell>
          <cell r="E86" t="str">
            <v>KG</v>
          </cell>
          <cell r="F86">
            <v>5.2</v>
          </cell>
          <cell r="G86" t="str">
            <v>R$ 15,18</v>
          </cell>
          <cell r="H86">
            <v>11.385</v>
          </cell>
          <cell r="I86">
            <v>59.201999999999998</v>
          </cell>
          <cell r="J86">
            <v>72.50468939999999</v>
          </cell>
        </row>
        <row r="87">
          <cell r="B87">
            <v>92761</v>
          </cell>
          <cell r="C87" t="str">
            <v>SINAPI</v>
          </cell>
          <cell r="D87" t="str">
            <v>ARMAÇÃO DE PILAR OU VIGA DE ESTRUTURA CONVENCIONAL DE CONCRETO ARMADO UTILIZANDO AÇO CA-50 DE 8,0 MM - MONTAGEM. AF_06/2022</v>
          </cell>
          <cell r="E87" t="str">
            <v>KG</v>
          </cell>
          <cell r="F87">
            <v>252</v>
          </cell>
          <cell r="G87" t="str">
            <v>R$ 13,89</v>
          </cell>
          <cell r="H87">
            <v>10.4175</v>
          </cell>
          <cell r="I87">
            <v>2625.21</v>
          </cell>
          <cell r="J87">
            <v>3215.0946869999998</v>
          </cell>
        </row>
        <row r="88">
          <cell r="B88">
            <v>92762</v>
          </cell>
          <cell r="C88" t="str">
            <v>SINAPI</v>
          </cell>
          <cell r="D88" t="str">
            <v>ARMAÇÃO DE PILAR OU VIGA DE ESTRUTURA CONVENCIONAL DE CONCRETO ARMADO UTILIZANDO AÇO CA-50 DE 10,0 MM - MONTAGEM. AF_06/2022</v>
          </cell>
          <cell r="E88" t="str">
            <v>KG</v>
          </cell>
          <cell r="F88">
            <v>1166.2</v>
          </cell>
          <cell r="G88" t="str">
            <v>R$ 12,19</v>
          </cell>
          <cell r="H88">
            <v>9.1425000000000001</v>
          </cell>
          <cell r="I88">
            <v>10661.9835</v>
          </cell>
          <cell r="J88">
            <v>13057.731192449999</v>
          </cell>
        </row>
        <row r="89">
          <cell r="B89">
            <v>92763</v>
          </cell>
          <cell r="C89" t="str">
            <v>SINAPI</v>
          </cell>
          <cell r="D89" t="str">
            <v>ARMAÇÃO DE PILAR OU VIGA DE ESTRUTURA CONVENCIONAL DE CONCRETO ARMADO UTILIZANDO AÇO CA-50 DE 12,5 MM - MONTAGEM. AF_06/2022</v>
          </cell>
          <cell r="E89" t="str">
            <v>KG</v>
          </cell>
          <cell r="F89">
            <v>1242</v>
          </cell>
          <cell r="G89" t="str">
            <v>R$ 10,12</v>
          </cell>
          <cell r="H89">
            <v>7.59</v>
          </cell>
          <cell r="I89">
            <v>9426.7800000000007</v>
          </cell>
          <cell r="J89">
            <v>11544.977466</v>
          </cell>
        </row>
        <row r="90">
          <cell r="B90">
            <v>92768</v>
          </cell>
          <cell r="C90" t="str">
            <v>SINAPI</v>
          </cell>
          <cell r="D90" t="str">
            <v>ARMAÇÃO DE LAJE DE ESTRUTURA CONVENCIONAL DE CONCRETO ARMADO UTILIZANDO AÇO CA-60 DE 5,0 MM - MONTAGEM. AF_06/2022</v>
          </cell>
          <cell r="E90" t="str">
            <v>KG</v>
          </cell>
          <cell r="F90">
            <v>105.3</v>
          </cell>
          <cell r="G90" t="str">
            <v>R$ 15,86</v>
          </cell>
          <cell r="H90">
            <v>11.895</v>
          </cell>
          <cell r="I90">
            <v>1252.5435</v>
          </cell>
          <cell r="J90">
            <v>1533.98002445</v>
          </cell>
        </row>
        <row r="91">
          <cell r="B91">
            <v>92770</v>
          </cell>
          <cell r="C91" t="str">
            <v>SINAPI</v>
          </cell>
          <cell r="D91" t="str">
            <v>ARMAÇÃO DE LAJE DE ESTRUTURA CONVENCIONAL DE CONCRETO ARMADO UTILIZANDO AÇO CA-50 DE 8,0 MM - MONTAGEM. AF_06/2022</v>
          </cell>
          <cell r="E91" t="str">
            <v>KG</v>
          </cell>
          <cell r="F91">
            <v>1707.7</v>
          </cell>
          <cell r="G91" t="str">
            <v>R$ 13,20</v>
          </cell>
          <cell r="H91">
            <v>9.8999999999999986</v>
          </cell>
          <cell r="I91">
            <v>16906.23</v>
          </cell>
          <cell r="J91">
            <v>20705.049880999999</v>
          </cell>
        </row>
        <row r="92">
          <cell r="B92">
            <v>92771</v>
          </cell>
          <cell r="C92" t="str">
            <v>SINAPI</v>
          </cell>
          <cell r="D92" t="str">
            <v>ARMAÇÃO DE LAJE DE ESTRUTURA CONVENCIONAL DE CONCRETO ARMADO UTILIZANDO AÇO CA-50 DE 10,0 MM - MONTAGEM. AF_06/2022</v>
          </cell>
          <cell r="E92" t="str">
            <v>KG</v>
          </cell>
          <cell r="F92">
            <v>242.6</v>
          </cell>
          <cell r="G92" t="str">
            <v>R$ 11,56</v>
          </cell>
          <cell r="H92">
            <v>8.67</v>
          </cell>
          <cell r="I92">
            <v>2103.3420000000001</v>
          </cell>
          <cell r="J92">
            <v>2575.9529473999996</v>
          </cell>
        </row>
        <row r="93">
          <cell r="B93">
            <v>92772</v>
          </cell>
          <cell r="C93" t="str">
            <v>SINAPI</v>
          </cell>
          <cell r="D93" t="str">
            <v>ARMAÇÃO DE LAJE DE ESTRUTURA CONVENCIONAL DE CONCRETO ARMADO UTILIZANDO AÇO CA-50 DE 12,5 MM - MONTAGEM. AF_06/2022</v>
          </cell>
          <cell r="E93" t="str">
            <v>KG</v>
          </cell>
          <cell r="F93">
            <v>13.4</v>
          </cell>
          <cell r="G93" t="str">
            <v>R$ 9,56</v>
          </cell>
          <cell r="H93">
            <v>7.17</v>
          </cell>
          <cell r="I93">
            <v>96.078000000000003</v>
          </cell>
          <cell r="J93">
            <v>117.66672659999999</v>
          </cell>
        </row>
        <row r="94">
          <cell r="B94">
            <v>96545</v>
          </cell>
          <cell r="C94" t="str">
            <v>SINAPI</v>
          </cell>
          <cell r="D94" t="str">
            <v>ARMAÇÃO DE BLOCO UTILIZANDO AÇO CA-50 DE 8 MM - MONTAGEM. AF_01/2024</v>
          </cell>
          <cell r="E94" t="str">
            <v>KG</v>
          </cell>
          <cell r="F94">
            <v>313.2</v>
          </cell>
          <cell r="G94" t="str">
            <v>R$ 19,07</v>
          </cell>
          <cell r="H94">
            <v>14.3025</v>
          </cell>
          <cell r="I94">
            <v>4479.5429999999997</v>
          </cell>
          <cell r="J94">
            <v>5486.0963120999995</v>
          </cell>
        </row>
        <row r="95">
          <cell r="B95">
            <v>103672</v>
          </cell>
          <cell r="C95" t="str">
            <v>SINAPI</v>
          </cell>
          <cell r="D95" t="str">
            <v>CONCRETAGEM DE PILARES, FCK = 25 MPA, COM USO DE BOMBA - LANÇAMENTO, ADENSAMENTO E ACABAMENTO. AF_02/2022_PS</v>
          </cell>
          <cell r="E95" t="str">
            <v>M3</v>
          </cell>
          <cell r="F95">
            <v>11.8</v>
          </cell>
          <cell r="G95" t="str">
            <v>R$ 662,16</v>
          </cell>
          <cell r="H95">
            <v>496.62</v>
          </cell>
          <cell r="I95">
            <v>5860.116</v>
          </cell>
          <cell r="J95">
            <v>7176.884065199999</v>
          </cell>
        </row>
        <row r="96">
          <cell r="B96">
            <v>103675</v>
          </cell>
          <cell r="C96" t="str">
            <v>SINAPI</v>
          </cell>
          <cell r="D96" t="str">
            <v>CONCRETAGEM DE VIGAS E LAJES, FCK=25 MPA, PARA LAJES MACIÇAS OU NERVURADAS COM USO DE BOMBA - LANÇAMENTO, ADENSAMENTO E ACABAMENTO. AF_02/2022_PS</v>
          </cell>
          <cell r="E96" t="str">
            <v>M3</v>
          </cell>
          <cell r="F96">
            <v>62</v>
          </cell>
          <cell r="G96" t="str">
            <v>R$ 663,24</v>
          </cell>
          <cell r="H96">
            <v>497.43</v>
          </cell>
          <cell r="I96">
            <v>30840.66</v>
          </cell>
          <cell r="J96">
            <v>37770.546301999995</v>
          </cell>
        </row>
        <row r="97">
          <cell r="B97">
            <v>103684</v>
          </cell>
          <cell r="C97" t="str">
            <v>SINAPI</v>
          </cell>
          <cell r="D97" t="str">
            <v>CONCRETAGEM DE RESERVATÓRIOS, FCK=25 MPA, COM USO DE BOMBA
- LANÇAMENTO, ADENSAMENTO E ACABAMENTO. AF_02/2022_PS</v>
          </cell>
          <cell r="E97" t="str">
            <v>M3</v>
          </cell>
          <cell r="F97">
            <v>3.5</v>
          </cell>
          <cell r="G97" t="str">
            <v>R$ 688,10</v>
          </cell>
          <cell r="H97">
            <v>516.07500000000005</v>
          </cell>
          <cell r="I97">
            <v>1806.2625000000003</v>
          </cell>
          <cell r="J97">
            <v>2212.1196837500001</v>
          </cell>
        </row>
        <row r="98">
          <cell r="B98">
            <v>96557</v>
          </cell>
          <cell r="C98" t="str">
            <v>SINAPI</v>
          </cell>
          <cell r="D98" t="str">
            <v>CONCRETAGEM DE BLOCO DE COROAMENTO OU VIGA BALDRAME, FCK 30 MPA, COM USO DE BOMBA - LANÇAMENTO, ADENSAMENTO E ACABAMENTO. AF_01/2024</v>
          </cell>
          <cell r="E98" t="str">
            <v>M3</v>
          </cell>
          <cell r="F98">
            <v>11.82</v>
          </cell>
          <cell r="G98" t="str">
            <v>R$ 721,24</v>
          </cell>
          <cell r="H98">
            <v>540.93000000000006</v>
          </cell>
          <cell r="I98">
            <v>6393.7926000000007</v>
          </cell>
          <cell r="J98">
            <v>7830.47779722</v>
          </cell>
        </row>
        <row r="99">
          <cell r="B99">
            <v>93187</v>
          </cell>
          <cell r="C99" t="str">
            <v>SINAPI</v>
          </cell>
          <cell r="D99" t="str">
            <v>VERGA MOLDADA IN LOCO EM CONCRETO PARA JANELAS COM MAIS DE 1,5 M DE VÃO. AF_03/2016</v>
          </cell>
          <cell r="E99" t="str">
            <v>M</v>
          </cell>
          <cell r="F99">
            <v>21.7</v>
          </cell>
          <cell r="G99" t="str">
            <v>R$ 89,99</v>
          </cell>
          <cell r="H99">
            <v>67.492499999999993</v>
          </cell>
          <cell r="I99">
            <v>1464.5872499999998</v>
          </cell>
          <cell r="J99">
            <v>1793.6800050749996</v>
          </cell>
        </row>
        <row r="100">
          <cell r="B100">
            <v>93197</v>
          </cell>
          <cell r="C100" t="str">
            <v>SINAPI</v>
          </cell>
          <cell r="D100" t="str">
            <v>CONTRAVERGA MOLDADA IN LOCO EM CONCRETO PARA VÃOS DE MAIS DE 1,5 M DE COMPRIMENTO. AF_03/2016</v>
          </cell>
          <cell r="E100" t="str">
            <v>M</v>
          </cell>
          <cell r="F100">
            <v>21.7</v>
          </cell>
          <cell r="G100" t="str">
            <v>R$ 64,83</v>
          </cell>
          <cell r="H100">
            <v>48.622500000000002</v>
          </cell>
          <cell r="I100">
            <v>1055.10825</v>
          </cell>
          <cell r="J100">
            <v>1292.1910737749999</v>
          </cell>
        </row>
        <row r="101">
          <cell r="B101">
            <v>93184</v>
          </cell>
          <cell r="C101" t="str">
            <v>SINAPI</v>
          </cell>
          <cell r="D101" t="str">
            <v>VERGA PRÉ-MOLDADA PARA PORTAS COM ATÉ 1,5 M DE VÃO. AF_03/2016</v>
          </cell>
          <cell r="E101" t="str">
            <v>M</v>
          </cell>
          <cell r="F101">
            <v>22</v>
          </cell>
          <cell r="G101" t="str">
            <v>R$ 31,65</v>
          </cell>
          <cell r="H101">
            <v>23.737499999999997</v>
          </cell>
          <cell r="I101">
            <v>522.22499999999991</v>
          </cell>
          <cell r="J101">
            <v>639.56895749999978</v>
          </cell>
        </row>
        <row r="102">
          <cell r="B102" t="str">
            <v>11.013.0006-0</v>
          </cell>
          <cell r="C102" t="str">
            <v>EMOP</v>
          </cell>
          <cell r="D102" t="str">
            <v>CHAPIM DE CONCRETO ARMADO,APARENTE,COM ACABAMENTO DESEMPENADO,MEDINDO (22X10)CM,CONFORME PROJETO TIPO Nº 6062/EMOP,FUNDIDO NO LOCAL</v>
          </cell>
          <cell r="E102" t="str">
            <v>M</v>
          </cell>
          <cell r="F102">
            <v>51.6</v>
          </cell>
          <cell r="G102" t="str">
            <v>R$ 63,89</v>
          </cell>
          <cell r="H102">
            <v>47.917500000000004</v>
          </cell>
          <cell r="I102">
            <v>2472.5430000000001</v>
          </cell>
          <cell r="J102">
            <v>3028.1234120999998</v>
          </cell>
        </row>
        <row r="103">
          <cell r="B103">
            <v>103076</v>
          </cell>
          <cell r="C103" t="str">
            <v>SINAPI</v>
          </cell>
          <cell r="D103" t="str">
            <v>EXECUÇÃO DE LAJE SOBRE SOLO, ESPESSURA DE 10 CM, FCK = 30 MPA, COM USO DE FORMAS EM MADEIRA SERRADA. AF_09/2021</v>
          </cell>
          <cell r="E103" t="str">
            <v>M2</v>
          </cell>
          <cell r="F103">
            <v>224</v>
          </cell>
          <cell r="G103" t="str">
            <v>R$ 154,86</v>
          </cell>
          <cell r="H103">
            <v>116.14500000000001</v>
          </cell>
          <cell r="I103">
            <v>26016.480000000003</v>
          </cell>
          <cell r="J103">
            <v>31862.383056000002</v>
          </cell>
        </row>
        <row r="104">
          <cell r="B104">
            <v>102073</v>
          </cell>
          <cell r="C104" t="str">
            <v>SINAPI</v>
          </cell>
          <cell r="D104" t="str">
            <v>ESCADA EM CONCRETO ARMADO MOLDADO IN LOCO, FCK 25 MPA, COM 1 LANCE E LAJE PLANA, FÔRMA EM CHAPA DE MADEIRA COMPENSADA RESINADA. AF_11/2020_PA</v>
          </cell>
          <cell r="E104" t="str">
            <v>M3</v>
          </cell>
          <cell r="F104">
            <v>0.11</v>
          </cell>
          <cell r="G104" t="str">
            <v>R$ 4.332,60</v>
          </cell>
          <cell r="H104">
            <v>3249.4500000000003</v>
          </cell>
          <cell r="I104">
            <v>357.43950000000001</v>
          </cell>
          <cell r="J104">
            <v>437.75615564999998</v>
          </cell>
        </row>
        <row r="105">
          <cell r="B105" t="str">
            <v>11.015.0010-0</v>
          </cell>
          <cell r="C105" t="str">
            <v>EMOP</v>
          </cell>
          <cell r="D105" t="str">
            <v>ADITIVO EM PO HIDROFUGANTE E IMPERMEABILIZANTE,DESENVOLVIDOCOM NANOTECNOLOGIA,PARA ADICAO EM CONCRETOS E ARGAMASSAS</v>
          </cell>
          <cell r="E105" t="str">
            <v>KG</v>
          </cell>
          <cell r="F105">
            <v>640.4</v>
          </cell>
          <cell r="G105" t="str">
            <v>R$ 24,71</v>
          </cell>
          <cell r="H105">
            <v>18.532499999999999</v>
          </cell>
          <cell r="I105">
            <v>11868.213</v>
          </cell>
          <cell r="J105">
            <v>14535.000461099999</v>
          </cell>
        </row>
        <row r="106">
          <cell r="D106" t="str">
            <v>ALVENARIAS, DIVISORIAS</v>
          </cell>
          <cell r="I106">
            <v>55622.869500000001</v>
          </cell>
          <cell r="J106">
            <v>68121.308276650001</v>
          </cell>
        </row>
        <row r="107">
          <cell r="B107">
            <v>93203</v>
          </cell>
          <cell r="C107" t="str">
            <v>SINAPI</v>
          </cell>
          <cell r="D107" t="str">
            <v>FIXAÇÃO (ENCUNHAMENTO) DE ALVENARIA DE VEDAÇÃO COM ESPUMA DE POLIURETANO EXPANSIVA. AF_03/2016</v>
          </cell>
          <cell r="E107" t="str">
            <v>M</v>
          </cell>
          <cell r="F107">
            <v>90.22</v>
          </cell>
          <cell r="G107" t="str">
            <v>R$ 14,62</v>
          </cell>
          <cell r="H107">
            <v>10.965</v>
          </cell>
          <cell r="I107">
            <v>989.26229999999998</v>
          </cell>
          <cell r="J107">
            <v>1211.5495388099998</v>
          </cell>
        </row>
        <row r="108">
          <cell r="B108">
            <v>103322</v>
          </cell>
          <cell r="C108" t="str">
            <v>SINAPI</v>
          </cell>
          <cell r="D108" t="str">
            <v>ALVENARIA DE VEDAÇÃO DE BLOCOS CERÂMICOS FURADOS NA VERTICAL DE 9X19X39 CM (ESPESSURA 9 CM) E ARGAMASSA DE ASSENTAMENTO COM PREPARO EM BETONEIRA. AF_12/2021</v>
          </cell>
          <cell r="E108" t="str">
            <v>M2</v>
          </cell>
          <cell r="F108">
            <v>448.16</v>
          </cell>
          <cell r="G108" t="str">
            <v>R$ 68,31</v>
          </cell>
          <cell r="H108">
            <v>51.232500000000002</v>
          </cell>
          <cell r="I108">
            <v>22960.357200000002</v>
          </cell>
          <cell r="J108">
            <v>28119.539462840003</v>
          </cell>
        </row>
        <row r="109">
          <cell r="B109">
            <v>103318</v>
          </cell>
          <cell r="C109" t="str">
            <v>SINAPI</v>
          </cell>
          <cell r="D109" t="str">
            <v>ALVENARIA DE VEDAÇÃO DE BLOCOS VAZADOS DE CONCRETO DE 14X19X39 CM (ESPESSURA 14 CM)  E ARGAMASSA DE ASSENTAMENTO COM PREPARO EM BETONEIRA. AF_12/2021</v>
          </cell>
          <cell r="E109" t="str">
            <v>M2</v>
          </cell>
          <cell r="F109">
            <v>114</v>
          </cell>
          <cell r="G109" t="str">
            <v>R$ 110,28</v>
          </cell>
          <cell r="H109">
            <v>82.710000000000008</v>
          </cell>
          <cell r="I109">
            <v>9428.94</v>
          </cell>
          <cell r="J109">
            <v>11547.622818</v>
          </cell>
        </row>
        <row r="110">
          <cell r="B110">
            <v>96358</v>
          </cell>
          <cell r="C110" t="str">
            <v>SINAPI</v>
          </cell>
          <cell r="D110" t="str">
            <v>PAREDE COM SISTEMA EM CHAPAS DE GESSO PARA DRYWALL, USO INTERNO, COM DUAS FACES SIMPLES E ESTRUTURA METÁLICA COM GUIAS SIMPLES, SEM VÃOS. AF_07/2023_PS</v>
          </cell>
          <cell r="E110" t="str">
            <v>M2</v>
          </cell>
          <cell r="F110">
            <v>162</v>
          </cell>
          <cell r="G110" t="str">
            <v>R$ 100,87</v>
          </cell>
          <cell r="H110">
            <v>75.652500000000003</v>
          </cell>
          <cell r="I110">
            <v>12255.705</v>
          </cell>
          <cell r="J110">
            <v>15009.551913499998</v>
          </cell>
        </row>
        <row r="111">
          <cell r="B111" t="str">
            <v>COMP. 1</v>
          </cell>
          <cell r="C111" t="str">
            <v>COMPOSIÇÃO</v>
          </cell>
          <cell r="D111" t="str">
            <v>PAREDE COM SISTEMA EM CHAPAS DE GESSO PARA DRYWALL, RESISTENTE À UMIDADE, COM DUAS FACES SIMPLES E ESTRUTURA METÁLICA COM GUIAS SIMPLES, SEM VÃOS</v>
          </cell>
          <cell r="E111" t="str">
            <v>M2</v>
          </cell>
          <cell r="F111">
            <v>61</v>
          </cell>
          <cell r="G111" t="str">
            <v>R$ 114,69</v>
          </cell>
          <cell r="H111">
            <v>86.017499999999998</v>
          </cell>
          <cell r="I111">
            <v>5247.0675000000001</v>
          </cell>
          <cell r="J111">
            <v>6426.0835672499998</v>
          </cell>
        </row>
        <row r="112">
          <cell r="B112" t="str">
            <v>COMP. 2</v>
          </cell>
          <cell r="C112" t="str">
            <v>COMPOSIÇÃO</v>
          </cell>
          <cell r="D112" t="str">
            <v>INSTALAÇÃO DE ISOLAMENTO COM LÃ DE ROCHA EM PAREDE DRYWALL</v>
          </cell>
          <cell r="E112" t="str">
            <v>M2</v>
          </cell>
          <cell r="F112">
            <v>223</v>
          </cell>
          <cell r="G112" t="str">
            <v>R$ 28,35</v>
          </cell>
          <cell r="H112">
            <v>21.262500000000003</v>
          </cell>
          <cell r="I112">
            <v>4741.5375000000004</v>
          </cell>
          <cell r="J112">
            <v>5806.9609762500004</v>
          </cell>
        </row>
        <row r="113">
          <cell r="D113" t="str">
            <v>REVESTIMENTO DE PAREDE, TETO E PISOS</v>
          </cell>
          <cell r="I113">
            <v>230640.56452499997</v>
          </cell>
          <cell r="J113">
            <v>282465.46937376744</v>
          </cell>
        </row>
        <row r="114">
          <cell r="B114">
            <v>87905</v>
          </cell>
          <cell r="C114" t="str">
            <v>SINAPI</v>
          </cell>
          <cell r="D114" t="str">
            <v>CHAPISCO APLICADO EM ALVENARIA (COM PRESENÇA DE VÃOS) E ESTRUTURAS DE CONCRETO DE FACHADA, COM COLHER DE PEDREIRO. ARGAMASSA TRAÇO 1:3 COM PREPARO EM BETONEIRA 400L. AF_10/2022</v>
          </cell>
          <cell r="E114" t="str">
            <v>M2</v>
          </cell>
          <cell r="F114">
            <v>1124.32</v>
          </cell>
          <cell r="G114" t="str">
            <v>R$ 10,59</v>
          </cell>
          <cell r="H114">
            <v>7.9424999999999999</v>
          </cell>
          <cell r="I114">
            <v>8929.9115999999995</v>
          </cell>
          <cell r="J114">
            <v>10936.462736519998</v>
          </cell>
        </row>
        <row r="115">
          <cell r="B115">
            <v>104217</v>
          </cell>
          <cell r="C115" t="str">
            <v>SINAPI</v>
          </cell>
          <cell r="D115" t="str">
            <v>EMBOÇO OU MASSA ÚNICA EM ARGAMASSA TRAÇO 1:2:8, PREPARO MECÂNICA COM BETONEIRA 400 L, APLICADA MANUALMENTE EM PANOS DE FACHADA COM PRESENÇA DE VÃOS, ESPESSURA DE 25 MM, ACESSO POR ANDAIME. AF_08/2022</v>
          </cell>
          <cell r="E115" t="str">
            <v>M2</v>
          </cell>
          <cell r="F115">
            <v>898.32</v>
          </cell>
          <cell r="G115" t="str">
            <v>R$ 65,35</v>
          </cell>
          <cell r="H115">
            <v>49.012499999999996</v>
          </cell>
          <cell r="I115">
            <v>44028.909</v>
          </cell>
          <cell r="J115">
            <v>53922.204852299998</v>
          </cell>
        </row>
        <row r="116">
          <cell r="B116">
            <v>87535</v>
          </cell>
          <cell r="C116" t="str">
            <v>SINAPI</v>
          </cell>
          <cell r="D116" t="str">
            <v>EMBOÇO, PARA RECEBIMENTO DE CERÂMICA, EM ARGAMASSA TRAÇO 1:2:8, PREPARO MECÂNICO COM BETONEIRA 400L, APLICADO MANUALMENTE EM FACES INTERNAS DE PAREDES, PARA AMBIENTE COM ÁREA  MAIOR QUE 10M2, ESPESSURA DE 20MM, COM EXECUÇÃO DE TALISCAS. AF_06/2014</v>
          </cell>
          <cell r="E116" t="str">
            <v>M2</v>
          </cell>
          <cell r="F116">
            <v>226</v>
          </cell>
          <cell r="G116" t="str">
            <v>R$ 40,48</v>
          </cell>
          <cell r="H116">
            <v>30.36</v>
          </cell>
          <cell r="I116">
            <v>6861.36</v>
          </cell>
          <cell r="J116">
            <v>8403.1075919999985</v>
          </cell>
        </row>
        <row r="117">
          <cell r="B117">
            <v>87273</v>
          </cell>
          <cell r="C117" t="str">
            <v>SINAPI</v>
          </cell>
          <cell r="D117" t="str">
            <v>REVESTIMENTO CERÂMICO PARA PAREDES INTERNAS COM PLACAS TIPO ESMALTADA EXTRA  DE DIMENSÕES 33X45 CM APLICADAS NA ALTURA INTEIRA DAS PAREDES. AF_02/2023_PE</v>
          </cell>
          <cell r="E117" t="str">
            <v>M2</v>
          </cell>
          <cell r="F117">
            <v>226</v>
          </cell>
          <cell r="G117" t="str">
            <v>R$ 77,68</v>
          </cell>
          <cell r="H117">
            <v>58.260000000000005</v>
          </cell>
          <cell r="I117">
            <v>13166.760000000002</v>
          </cell>
          <cell r="J117">
            <v>16125.330972000002</v>
          </cell>
        </row>
        <row r="118">
          <cell r="B118" t="str">
            <v>13.168.0010-0</v>
          </cell>
          <cell r="C118" t="str">
            <v>EMOP</v>
          </cell>
          <cell r="D118" t="str">
            <v>REVESTIMENTO DE FACHADA OU AREAS INT.C/PAINEL ALUM.COMPOSTO,SENDO DUAS LAMINAS ALUM.C/0,3MM ESP.,PINTURA PVDF (FLUOR CARBONO) KYNNAR 500,NO SISTEMA COIL COATING,ESP.DO COMPOSTO DE4MM,PINTURA PROTEGIDA POR FILME HAVY DUTY NAS FACES PINTADAS,NUCLEO EM POLIETILENO DE BAIXA DENSIDADE (RIGIDO),INCL.SUBESTRUTURA DE ALUM.E DEMAIS INSUMOS NECES.A COLOC.FORN.COLOC.</v>
          </cell>
          <cell r="E118" t="str">
            <v>M2</v>
          </cell>
          <cell r="F118">
            <v>43.35</v>
          </cell>
          <cell r="G118" t="str">
            <v>R$ 669,50</v>
          </cell>
          <cell r="H118">
            <v>502.125</v>
          </cell>
          <cell r="I118">
            <v>21767.118750000001</v>
          </cell>
          <cell r="J118">
            <v>26658.190333125</v>
          </cell>
        </row>
        <row r="119">
          <cell r="B119">
            <v>39512</v>
          </cell>
          <cell r="C119" t="str">
            <v>SINAPI</v>
          </cell>
          <cell r="D119" t="str">
            <v>FORRO DE FIBRA MINERAL EM PLACAS DE 1250 X 625 MM, E = 15 MM, BORDA RETA, COM PINTURA ANTIMOFO, APOIADO EM PERFIL DE ACO GALVANIZADO COM 24 MM DE BASE - INSTALADO</v>
          </cell>
          <cell r="E119" t="str">
            <v>M2</v>
          </cell>
          <cell r="F119">
            <v>205</v>
          </cell>
          <cell r="G119" t="str">
            <v>R$ 117,96</v>
          </cell>
          <cell r="H119">
            <v>88.47</v>
          </cell>
          <cell r="I119">
            <v>18136.349999999999</v>
          </cell>
          <cell r="J119">
            <v>22211.587844999998</v>
          </cell>
        </row>
        <row r="120">
          <cell r="B120">
            <v>87630</v>
          </cell>
          <cell r="C120" t="str">
            <v>SINAPI</v>
          </cell>
          <cell r="D120" t="str">
            <v>CONTRAPISO EM ARGAMASSA TRAÇO 1:4 (CIMENTO E AREIA), PREPARO MECÂNICO COM BETONEIRA 400 L, APLICADO EM ÁREAS SECAS SOBRE LAJE, ADERIDO, ACABAMENTO NÃO REFORÇADO, ESPESSURA 3CM. AF_07/2021</v>
          </cell>
          <cell r="E120" t="str">
            <v>M2</v>
          </cell>
          <cell r="F120">
            <v>169.7</v>
          </cell>
          <cell r="G120" t="str">
            <v>R$ 43,40</v>
          </cell>
          <cell r="H120">
            <v>32.549999999999997</v>
          </cell>
          <cell r="I120">
            <v>5523.7349999999988</v>
          </cell>
          <cell r="J120">
            <v>6764.9182544999976</v>
          </cell>
        </row>
        <row r="121">
          <cell r="B121">
            <v>87745</v>
          </cell>
          <cell r="C121" t="str">
            <v>SINAPI</v>
          </cell>
          <cell r="D121" t="str">
            <v>CONTRAPISO EM ARGAMASSA TRAÇO 1:4 (CIMENTO E AREIA), PREPARO MECÂNICO COM BETONEIRA 400 L, APLICADO EM ÁREAS MOLHADAS SOBRE LAJE, ADERIDO, ACABAMENTO NÃO REFORÇADO, ESPESSURA 3CM. AF_07/2021</v>
          </cell>
          <cell r="E121" t="str">
            <v>M2</v>
          </cell>
          <cell r="F121">
            <v>44.8</v>
          </cell>
          <cell r="G121" t="str">
            <v>R$ 60,99</v>
          </cell>
          <cell r="H121">
            <v>45.7425</v>
          </cell>
          <cell r="I121">
            <v>2049.2639999999997</v>
          </cell>
          <cell r="J121">
            <v>2509.723620799999</v>
          </cell>
        </row>
        <row r="122">
          <cell r="B122">
            <v>87263</v>
          </cell>
          <cell r="C122" t="str">
            <v>SINAPI</v>
          </cell>
          <cell r="D122" t="str">
            <v>REVESTIMENTO CERÂMICO PARA PISO COM PLACAS TIPO PORCELANATO DE DIMENSÕES 60X60 CM APLICADA EM AMBIENTES DE ÁREA MAIOR QUE 10 M². AF_02/2023_PE</v>
          </cell>
          <cell r="E122" t="str">
            <v>M2</v>
          </cell>
          <cell r="F122">
            <v>205</v>
          </cell>
          <cell r="G122" t="str">
            <v>R$ 119,96</v>
          </cell>
          <cell r="H122">
            <v>89.97</v>
          </cell>
          <cell r="I122">
            <v>18443.849999999999</v>
          </cell>
          <cell r="J122">
            <v>22588.183094999997</v>
          </cell>
        </row>
        <row r="123">
          <cell r="B123" t="str">
            <v>COMP. 3</v>
          </cell>
          <cell r="C123" t="str">
            <v>COMPOSIÇÃO</v>
          </cell>
          <cell r="D123" t="str">
            <v>REVESTIMENTO DE FACHADA EXTERNA, COM PEDRA DO PEDRA GRANITO BRANCO CEARÁ, ACABAMENTO LEVIGADO, FIXADO COM INSERTES EM AÇO ÍNOX</v>
          </cell>
          <cell r="E123" t="str">
            <v>M2</v>
          </cell>
          <cell r="F123">
            <v>23.9</v>
          </cell>
          <cell r="G123" t="str">
            <v>R$ 1.899,73</v>
          </cell>
          <cell r="H123">
            <v>1424.7975000000001</v>
          </cell>
          <cell r="I123">
            <v>34052.660250000001</v>
          </cell>
          <cell r="J123">
            <v>41704.283008174993</v>
          </cell>
        </row>
        <row r="124">
          <cell r="B124" t="str">
            <v>COMP. 4</v>
          </cell>
          <cell r="C124" t="str">
            <v>COMPOSIÇÃO</v>
          </cell>
          <cell r="D124" t="str">
            <v>REVESTIMENTO PORCELANATO, PARA PAREDES EXTERNAS DE FACHADA, PLACAS DE 60 X 120 CM, ALINHADAS A PRUMO</v>
          </cell>
          <cell r="E124" t="str">
            <v>M2</v>
          </cell>
          <cell r="F124">
            <v>181.5</v>
          </cell>
          <cell r="G124" t="str">
            <v>R$ 226,44</v>
          </cell>
          <cell r="H124">
            <v>169.82999999999998</v>
          </cell>
          <cell r="I124">
            <v>30824.144999999997</v>
          </cell>
          <cell r="J124">
            <v>37750.330381499996</v>
          </cell>
        </row>
        <row r="125">
          <cell r="B125" t="str">
            <v>COMP. 5</v>
          </cell>
          <cell r="C125" t="str">
            <v>COMPOSIÇÃO</v>
          </cell>
          <cell r="D125" t="str">
            <v>RODAPÉ CERÂMICO DE 10CM DE ALTURA COM PLACAS TIPO PORCELANATO, COMPRIMENTO 60CM</v>
          </cell>
          <cell r="E125" t="str">
            <v>M</v>
          </cell>
          <cell r="F125">
            <v>169.7</v>
          </cell>
          <cell r="G125" t="str">
            <v>R$ 25,44</v>
          </cell>
          <cell r="H125">
            <v>19.080000000000002</v>
          </cell>
          <cell r="I125">
            <v>3237.8760000000002</v>
          </cell>
          <cell r="J125">
            <v>3965.4167371999997</v>
          </cell>
        </row>
        <row r="126">
          <cell r="B126">
            <v>101092</v>
          </cell>
          <cell r="C126" t="str">
            <v>SINAPI</v>
          </cell>
          <cell r="D126" t="str">
            <v>PISO EM GRANITO APLICADO EM CALÇADAS OU PISOS EXTERNOS. AF_05/2020</v>
          </cell>
          <cell r="E126" t="str">
            <v>M2</v>
          </cell>
          <cell r="F126">
            <v>9.5</v>
          </cell>
          <cell r="G126" t="str">
            <v>R$ 598,07</v>
          </cell>
          <cell r="H126">
            <v>448.55250000000001</v>
          </cell>
          <cell r="I126">
            <v>4261.2487499999997</v>
          </cell>
          <cell r="J126">
            <v>5218.7513441249994</v>
          </cell>
        </row>
        <row r="127">
          <cell r="B127" t="str">
            <v>COMP. 6</v>
          </cell>
          <cell r="C127" t="str">
            <v>COMPOSIÇÃO</v>
          </cell>
          <cell r="D127" t="str">
            <v>PEITORIL EM GRANITO, COM DOIS NÍVEIS, L = 20CM E L=8CM, ASSENTADO COM ARGAMASSA 1:6 COM ADITIVO</v>
          </cell>
          <cell r="E127" t="str">
            <v>M</v>
          </cell>
          <cell r="F127">
            <v>19</v>
          </cell>
          <cell r="G127" t="str">
            <v>R$ 332,68</v>
          </cell>
          <cell r="H127">
            <v>249.51</v>
          </cell>
          <cell r="I127">
            <v>4740.6899999999996</v>
          </cell>
          <cell r="J127">
            <v>5805.9230429999989</v>
          </cell>
        </row>
        <row r="128">
          <cell r="B128">
            <v>98689</v>
          </cell>
          <cell r="C128" t="str">
            <v>SINAPI</v>
          </cell>
          <cell r="D128" t="str">
            <v>SOLEIRA EM GRANITO, LARGURA 15 CM, ESPESSURA 2,0 CM. AF_09/2020</v>
          </cell>
          <cell r="E128" t="str">
            <v>M</v>
          </cell>
          <cell r="F128">
            <v>26.22</v>
          </cell>
          <cell r="G128" t="str">
            <v>R$ 151,26</v>
          </cell>
          <cell r="H128">
            <v>113.44499999999999</v>
          </cell>
          <cell r="I128">
            <v>2974.5278999999996</v>
          </cell>
          <cell r="J128">
            <v>3642.9043191299993</v>
          </cell>
        </row>
        <row r="129">
          <cell r="B129">
            <v>104658</v>
          </cell>
          <cell r="C129" t="str">
            <v>SINAPI</v>
          </cell>
          <cell r="D129" t="str">
            <v>PISO PODOTÁTIL DE ALERTA OU DIRECIONAL, DE CONCRETO, ASSENTADO SOBRE ARGAMASSA. AF_05/2023</v>
          </cell>
          <cell r="E129" t="str">
            <v>M2</v>
          </cell>
          <cell r="F129">
            <v>0.87</v>
          </cell>
          <cell r="G129" t="str">
            <v>R$ 177,31</v>
          </cell>
          <cell r="H129">
            <v>132.98250000000002</v>
          </cell>
          <cell r="I129">
            <v>115.69477500000001</v>
          </cell>
          <cell r="J129">
            <v>141.69139094249999</v>
          </cell>
        </row>
        <row r="130">
          <cell r="B130">
            <v>38182</v>
          </cell>
          <cell r="C130" t="str">
            <v>SINAPI</v>
          </cell>
          <cell r="D130" t="str">
            <v>PISO TATIL DE ALERTA OU DIRECIONAL DE BORRACHA, PRETO, 25 X 25 CM, E = 5 MM, PARA COLA</v>
          </cell>
          <cell r="E130" t="str">
            <v>M2</v>
          </cell>
          <cell r="F130">
            <v>2.4500000000000002</v>
          </cell>
          <cell r="G130" t="str">
            <v>R$ 274,64</v>
          </cell>
          <cell r="H130">
            <v>205.98</v>
          </cell>
          <cell r="I130">
            <v>504.65100000000001</v>
          </cell>
          <cell r="J130">
            <v>618.04607969999995</v>
          </cell>
        </row>
        <row r="131">
          <cell r="B131">
            <v>101966</v>
          </cell>
          <cell r="C131" t="str">
            <v>SINAPI</v>
          </cell>
          <cell r="D131" t="str">
            <v>CHAPIM SOBRE MUROS LINEARES, EM GRANITO OU MÁRMORE, L = 25 CM, ASSENTADO COM ARGAMASSA 1:6 COM ADITIVO. AF_11/2020</v>
          </cell>
          <cell r="E131" t="str">
            <v>M</v>
          </cell>
          <cell r="F131">
            <v>72.5</v>
          </cell>
          <cell r="G131" t="str">
            <v>R$ 202,70</v>
          </cell>
          <cell r="H131">
            <v>152.02499999999998</v>
          </cell>
          <cell r="I131">
            <v>11021.812499999998</v>
          </cell>
          <cell r="J131">
            <v>13498.413768749997</v>
          </cell>
        </row>
        <row r="132">
          <cell r="D132" t="str">
            <v>ESQUADRIAS DE MADEIRA, SERRALHERIA, FERRAGENS E VIDRACARIA</v>
          </cell>
          <cell r="I132">
            <v>140381.39595000001</v>
          </cell>
          <cell r="J132">
            <v>171925.04561996504</v>
          </cell>
        </row>
        <row r="133">
          <cell r="B133">
            <v>90789</v>
          </cell>
          <cell r="C133" t="str">
            <v>SINAPI</v>
          </cell>
          <cell r="D133" t="str">
            <v>KIT DE PORTA-PRONTA DE MADEIRA EM ACABAMENTO MELAMÍNICO BRANCO, FOLHA LEVE OU MÉDIA, 70X210CM, EXCLUSIVE FECHADURA, FIXAÇÃO COM PREENCHIMENTO PARCIAL DE ESPUMA EXPANSIVA - FORNECIMENTO E INSTALAÇÃO. AF_12/2019</v>
          </cell>
          <cell r="E133" t="str">
            <v>UN</v>
          </cell>
          <cell r="F133">
            <v>4</v>
          </cell>
          <cell r="G133" t="str">
            <v>R$ 979,73</v>
          </cell>
          <cell r="H133">
            <v>734.79750000000001</v>
          </cell>
          <cell r="I133">
            <v>2939.19</v>
          </cell>
          <cell r="J133">
            <v>3599.6259929999997</v>
          </cell>
        </row>
        <row r="134">
          <cell r="B134">
            <v>90790</v>
          </cell>
          <cell r="C134" t="str">
            <v>SINAPI</v>
          </cell>
          <cell r="D134" t="str">
            <v>KIT DE PORTA-PRONTA DE MADEIRA EM ACABAMENTO MELAMÍNICO BRANCO, FOLHA LEVE OU MÉDIA, 80X210CM, EXCLUSIVE FECHADURA, FIXAÇÃO COM PREENCHIMENTO PARCIAL DE ESPUMA EXPANSIVA - FORNECIMENTO E INSTALAÇÃO. AF_12/2019</v>
          </cell>
          <cell r="E134" t="str">
            <v>UN</v>
          </cell>
          <cell r="F134">
            <v>12</v>
          </cell>
          <cell r="G134" t="str">
            <v>R$ 1.011,07</v>
          </cell>
          <cell r="H134">
            <v>758.30250000000001</v>
          </cell>
          <cell r="I134">
            <v>9099.630000000001</v>
          </cell>
          <cell r="J134">
            <v>11144.316861000001</v>
          </cell>
        </row>
        <row r="135">
          <cell r="B135">
            <v>90793</v>
          </cell>
          <cell r="C135" t="str">
            <v>SINAPI</v>
          </cell>
          <cell r="D135" t="str">
            <v>KIT DE PORTA-PRONTA DE MADEIRA EM ACABAMENTO MELAMÍNICO BRANCO, FOLHA PESADA OU SUPERPESADA, 90X210CM, FIXAÇÃO COM PREENCHIMENTO TOTAL DE ESPUMA EXPANSIVA - FORNECIMENTO E INSTALAÇÃO. AF_12/2019</v>
          </cell>
          <cell r="E135" t="str">
            <v>UN</v>
          </cell>
          <cell r="F135">
            <v>3</v>
          </cell>
          <cell r="G135" t="str">
            <v>R$ 1.251,21</v>
          </cell>
          <cell r="H135">
            <v>938.40750000000003</v>
          </cell>
          <cell r="I135">
            <v>2815.2224999999999</v>
          </cell>
          <cell r="J135">
            <v>3447.8029957499994</v>
          </cell>
        </row>
        <row r="136">
          <cell r="B136">
            <v>90830</v>
          </cell>
          <cell r="C136" t="str">
            <v>SINAPI</v>
          </cell>
          <cell r="D136" t="str">
            <v>FECHADURA DE EMBUTIR COM CILINDRO, EXTERNA, COMPLETA, ACABAMENTO PADRÃO MÉDIO, INCLUSO EXECUÇÃO DE FURO - FORNECIMENTO E INSTALAÇÃO. AF_12/2019</v>
          </cell>
          <cell r="E136" t="str">
            <v>UN</v>
          </cell>
          <cell r="F136">
            <v>11</v>
          </cell>
          <cell r="G136" t="str">
            <v>R$ 216,42</v>
          </cell>
          <cell r="H136">
            <v>162.315</v>
          </cell>
          <cell r="I136">
            <v>1785.4649999999999</v>
          </cell>
          <cell r="J136">
            <v>2186.6589854999997</v>
          </cell>
        </row>
        <row r="137">
          <cell r="B137">
            <v>90831</v>
          </cell>
          <cell r="C137" t="str">
            <v>SINAPI</v>
          </cell>
          <cell r="D137" t="str">
            <v>FECHADURA DE EMBUTIR PARA PORTA DE BANHEIRO, COMPLETA, ACABAMENTO PADRÃO MÉDIO, INCLUSO EXECUÇÃO DE FURO - FORNECIMENTO E INSTALAÇÃO. AF_12/2019</v>
          </cell>
          <cell r="E137" t="str">
            <v>UN</v>
          </cell>
          <cell r="F137">
            <v>8</v>
          </cell>
          <cell r="G137" t="str">
            <v>R$ 188,05</v>
          </cell>
          <cell r="H137">
            <v>141.03750000000002</v>
          </cell>
          <cell r="I137">
            <v>1128.3000000000002</v>
          </cell>
          <cell r="J137">
            <v>1381.8290100000002</v>
          </cell>
        </row>
        <row r="138">
          <cell r="B138" t="str">
            <v>14.002.0240-0</v>
          </cell>
          <cell r="C138" t="str">
            <v>EMOP</v>
          </cell>
          <cell r="D138" t="str">
            <v>PROTECAO PARA PORTA EM ACO INOX ESCOVADO,CHAPA N°14,COM 30CMDE ALTURA.FORNECIMENTO E COLOCACAO</v>
          </cell>
          <cell r="E138" t="str">
            <v>M</v>
          </cell>
          <cell r="F138">
            <v>1.8</v>
          </cell>
          <cell r="G138" t="str">
            <v>R$ 55,29</v>
          </cell>
          <cell r="H138">
            <v>41.467500000000001</v>
          </cell>
          <cell r="I138">
            <v>74.641500000000008</v>
          </cell>
          <cell r="J138">
            <v>91.413445050000007</v>
          </cell>
        </row>
        <row r="139">
          <cell r="B139">
            <v>94573</v>
          </cell>
          <cell r="C139" t="str">
            <v>SINAPI</v>
          </cell>
          <cell r="D139" t="str">
            <v>JANELA DE ALUMÍNIO DE CORRER COM 4 FOLHAS PARA VIDROS, COM VIDROS, BATENTE, ACABAMENTO COM ACETATO OU BRILHANTE E FERRAGENS. EXCLUSIVE ALIZAR E CONTRAMARCO. FORNECIMENTO E INSTALAÇÃO. AF_12/2019</v>
          </cell>
          <cell r="E139" t="str">
            <v>M2</v>
          </cell>
          <cell r="F139">
            <v>14.4</v>
          </cell>
          <cell r="G139" t="str">
            <v>R$ 609,12</v>
          </cell>
          <cell r="H139">
            <v>456.84000000000003</v>
          </cell>
          <cell r="I139">
            <v>6578.496000000001</v>
          </cell>
          <cell r="J139">
            <v>8056.6840512000008</v>
          </cell>
        </row>
        <row r="140">
          <cell r="B140">
            <v>94570</v>
          </cell>
          <cell r="C140" t="str">
            <v>SINAPI</v>
          </cell>
          <cell r="D140" t="str">
            <v>JANELA DE ALUMÍNIO DE CORRER COM 2 FOLHAS PARA VIDROS, COM VIDROS, BATENTE, ACABAMENTO COM ACETATO OU BRILHANTE E FERRAGENS. EXCLUSIVE ALIZAR E CONTRAMARCO. FORNECIMENTO E INSTALAÇÃO. AF_12/2019</v>
          </cell>
          <cell r="E140" t="str">
            <v>M2</v>
          </cell>
          <cell r="F140">
            <v>7.2</v>
          </cell>
          <cell r="G140" t="str">
            <v>R$ 545,21</v>
          </cell>
          <cell r="H140">
            <v>408.90750000000003</v>
          </cell>
          <cell r="I140">
            <v>2944.1340000000005</v>
          </cell>
          <cell r="J140">
            <v>3605.6809098000003</v>
          </cell>
        </row>
        <row r="141">
          <cell r="B141" t="str">
            <v>14.003.0148-0</v>
          </cell>
          <cell r="C141" t="str">
            <v>EMOP</v>
          </cell>
          <cell r="D141" t="str">
            <v>JANELA DE ALUMINIO ANODIZADO AO NATURAL,TIPO MAXIM-AR,COM 1PAINEL DESLIZANTE PROJETANTE,PROVIDA DE HASTE DE COMANDO,EMPERFIS SERIE 28.FORNECIMENTO E COLOCACAO</v>
          </cell>
          <cell r="E141" t="str">
            <v>M2</v>
          </cell>
          <cell r="F141">
            <v>5.84</v>
          </cell>
          <cell r="G141" t="str">
            <v>R$ 1.027,34</v>
          </cell>
          <cell r="H141">
            <v>770.50499999999988</v>
          </cell>
          <cell r="I141">
            <v>4499.7491999999993</v>
          </cell>
          <cell r="J141">
            <v>5510.8428452399985</v>
          </cell>
        </row>
        <row r="142">
          <cell r="B142">
            <v>94590</v>
          </cell>
          <cell r="C142" t="str">
            <v>SINAPI</v>
          </cell>
          <cell r="D142" t="str">
            <v>CONTRAMARCO DE ALUMÍNIO, FIXAÇÃO COM PARAFUSO - FORNECIMENTO E INSTALAÇÃO. AF_12/2019</v>
          </cell>
          <cell r="E142" t="str">
            <v>M</v>
          </cell>
          <cell r="F142">
            <v>58.8</v>
          </cell>
          <cell r="G142" t="str">
            <v>R$ 39,21</v>
          </cell>
          <cell r="H142">
            <v>29.407499999999999</v>
          </cell>
          <cell r="I142">
            <v>1729.1609999999998</v>
          </cell>
          <cell r="J142">
            <v>2117.7034766999996</v>
          </cell>
        </row>
        <row r="143">
          <cell r="B143">
            <v>100701</v>
          </cell>
          <cell r="C143" t="str">
            <v>SINAPI</v>
          </cell>
          <cell r="D143" t="str">
            <v>PORTA DE FERRO, DE ABRIR, TIPO GRADE COM CHAPA, COM GUARNIÇÕES. AF_12/2019</v>
          </cell>
          <cell r="E143" t="str">
            <v>M2</v>
          </cell>
          <cell r="F143">
            <v>7.56</v>
          </cell>
          <cell r="G143" t="str">
            <v>R$ 740,48</v>
          </cell>
          <cell r="H143">
            <v>555.36</v>
          </cell>
          <cell r="I143">
            <v>4198.5216</v>
          </cell>
          <cell r="J143">
            <v>5141.9294035200001</v>
          </cell>
        </row>
        <row r="144">
          <cell r="B144" t="str">
            <v>18.016.0205-0</v>
          </cell>
          <cell r="C144" t="str">
            <v>EMOP</v>
          </cell>
          <cell r="D144" t="str">
            <v>CORRIMAO DUPLO EM TUBO DE ACO INOX COM DIAMETRO DE 1.1/2",BARRA SUPERIOR COM ALTURA DE 92CM E BARRA INFERIOR COM ALTURADE 70CM,FIXADO EM MONTANTES DE ACO INOX COM DIAMETRO DE 1.1/2",CONFORME ABNT NBR 9050 PARA ACESSIBILIDADE.FORNECIMENTO ECOLOCACAO</v>
          </cell>
          <cell r="E144" t="str">
            <v>M</v>
          </cell>
          <cell r="F144">
            <v>11.01</v>
          </cell>
          <cell r="G144" t="str">
            <v>R$ 502,26</v>
          </cell>
          <cell r="H144">
            <v>376.69499999999999</v>
          </cell>
          <cell r="I144">
            <v>4147.4119499999997</v>
          </cell>
          <cell r="J144">
            <v>5079.3354151649992</v>
          </cell>
        </row>
        <row r="145">
          <cell r="B145">
            <v>99861</v>
          </cell>
          <cell r="C145" t="str">
            <v>SINAPI</v>
          </cell>
          <cell r="D145" t="str">
            <v>GRADIL EM FERRO FIXADO EM VÃOS DE JANELAS, FORMADO POR BARRAS CHATAS DE 25X4,8 MM. AF_04/2019</v>
          </cell>
          <cell r="E145" t="str">
            <v>M2</v>
          </cell>
          <cell r="F145">
            <v>22.4</v>
          </cell>
          <cell r="G145" t="str">
            <v>R$ 804,84</v>
          </cell>
          <cell r="H145">
            <v>603.63</v>
          </cell>
          <cell r="I145">
            <v>13521.312</v>
          </cell>
          <cell r="J145">
            <v>16559.5408064</v>
          </cell>
        </row>
        <row r="146">
          <cell r="B146" t="str">
            <v>14.004.0120-0</v>
          </cell>
          <cell r="C146" t="str">
            <v>EMOP</v>
          </cell>
          <cell r="D146" t="str">
            <v>VIDRO TEMPERADO INCOLOR,10MM DE ESPESSURA,PARA PORTAS OU PAINEIS FIXOS,EXCLUSIVE FERRAGENS.FORNECIMENTO E COLOCACAO</v>
          </cell>
          <cell r="E146" t="str">
            <v>M2</v>
          </cell>
          <cell r="F146">
            <v>10.050000000000001</v>
          </cell>
          <cell r="G146" t="str">
            <v>R$ 566,50</v>
          </cell>
          <cell r="H146">
            <v>424.875</v>
          </cell>
          <cell r="I146">
            <v>4269.9937500000005</v>
          </cell>
          <cell r="J146">
            <v>5229.4513456249997</v>
          </cell>
        </row>
        <row r="147">
          <cell r="B147" t="str">
            <v>14.004.0073-0</v>
          </cell>
          <cell r="C147" t="str">
            <v>EMOP</v>
          </cell>
          <cell r="D147" t="str">
            <v>VIDRO LAMINADO,COM ESPESSURA DE 10MM.FORNECIMENTO E COLOCACAO</v>
          </cell>
          <cell r="E147" t="str">
            <v>M2</v>
          </cell>
          <cell r="F147">
            <v>36.590000000000003</v>
          </cell>
          <cell r="G147" t="str">
            <v>R$ 644,64</v>
          </cell>
          <cell r="H147">
            <v>483.48</v>
          </cell>
          <cell r="I147">
            <v>17690.533200000002</v>
          </cell>
          <cell r="J147">
            <v>21665.586010040002</v>
          </cell>
        </row>
        <row r="148">
          <cell r="B148" t="str">
            <v>14.007.0195-0</v>
          </cell>
          <cell r="C148" t="str">
            <v>EMOP</v>
          </cell>
          <cell r="D148" t="str">
            <v>FERRAGENS PARA PAINEIS FIXOS DE VIDRO TEMPERADO DE 10MM(CONJUNTO COMPLETO),CONSTANDO DE FORNECIMENTO SEM COLOCACAO(ESTAINCLUIDA NO FORNECIMENTO E COLOCACAO DO VIDRO)</v>
          </cell>
          <cell r="E148" t="str">
            <v>UN</v>
          </cell>
          <cell r="F148">
            <v>3</v>
          </cell>
          <cell r="G148" t="str">
            <v>R$ 180,00</v>
          </cell>
          <cell r="H148">
            <v>135</v>
          </cell>
          <cell r="I148">
            <v>405</v>
          </cell>
          <cell r="J148">
            <v>496.00349999999997</v>
          </cell>
        </row>
        <row r="149">
          <cell r="B149" t="str">
            <v>14.003.0163-0</v>
          </cell>
          <cell r="C149" t="str">
            <v>EMOP</v>
          </cell>
          <cell r="D149" t="str">
            <v>CAIXILHO FIXO DE ALUMINIO ANODIZADO AO NATURAL,SERIE 28,PARAVIDRO.FORNECIMENTO E COLOCACAO</v>
          </cell>
          <cell r="E149" t="str">
            <v>M2</v>
          </cell>
          <cell r="F149">
            <v>36.729999999999997</v>
          </cell>
          <cell r="G149" t="str">
            <v>R$ 427,67</v>
          </cell>
          <cell r="H149">
            <v>320.7525</v>
          </cell>
          <cell r="I149">
            <v>11781.239324999999</v>
          </cell>
          <cell r="J149">
            <v>14428.483801327497</v>
          </cell>
        </row>
        <row r="150">
          <cell r="B150" t="str">
            <v>14.004.0205-0</v>
          </cell>
          <cell r="C150" t="str">
            <v>EMOP</v>
          </cell>
          <cell r="D150" t="str">
            <v>PELICULA REFLETIVA DE CONTROLE SOLAR.FORNECIMENTO E COLOCACAO</v>
          </cell>
          <cell r="E150" t="str">
            <v>M2</v>
          </cell>
          <cell r="F150">
            <v>61.09</v>
          </cell>
          <cell r="G150" t="str">
            <v>R$ 19,45</v>
          </cell>
          <cell r="H150">
            <v>14.587499999999999</v>
          </cell>
          <cell r="I150">
            <v>891.15037499999994</v>
          </cell>
          <cell r="J150">
            <v>1091.3818642624999</v>
          </cell>
        </row>
        <row r="151">
          <cell r="B151" t="str">
            <v>14.007.0320-0</v>
          </cell>
          <cell r="C151" t="str">
            <v>EMOP</v>
          </cell>
          <cell r="D151" t="str">
            <v>PUXADOR TUBULAR,EM ZAMAK CROMADO.FORNECIMENTO</v>
          </cell>
          <cell r="E151" t="str">
            <v>UN</v>
          </cell>
          <cell r="F151">
            <v>2</v>
          </cell>
          <cell r="G151" t="str">
            <v>R$ 24,62</v>
          </cell>
          <cell r="H151">
            <v>18.465</v>
          </cell>
          <cell r="I151">
            <v>36.93</v>
          </cell>
          <cell r="J151">
            <v>45.218170999999998</v>
          </cell>
        </row>
        <row r="152">
          <cell r="B152" t="str">
            <v>COMP. 7</v>
          </cell>
          <cell r="C152" t="str">
            <v>COMPOSIÇÃO</v>
          </cell>
          <cell r="D152" t="str">
            <v>PORTA DE ALUMINIO ANODIZADO PRETO, DE CORRER UMA FOLHA, 1,20X2,10M, AUTOMÁTICA, EM PERFIS SERIE 30,C/CONTRAMARCO, ACABAMENTO PRETO, FECHAMENTO EM VIDRO LAMINADO, INCLUINDO SENSORES, FORNECIMENTO E COLOCACAO</v>
          </cell>
          <cell r="E152" t="str">
            <v>UN</v>
          </cell>
          <cell r="F152">
            <v>1</v>
          </cell>
          <cell r="G152" t="str">
            <v>R$ 22.592,31</v>
          </cell>
          <cell r="H152">
            <v>16944.232500000002</v>
          </cell>
          <cell r="I152">
            <v>16944.232500000002</v>
          </cell>
          <cell r="J152">
            <v>20751.601542750002</v>
          </cell>
        </row>
        <row r="153">
          <cell r="B153">
            <v>102184</v>
          </cell>
          <cell r="C153" t="str">
            <v>SINAPI</v>
          </cell>
          <cell r="D153" t="str">
            <v>PORTA DE ABRIR COM MOLA HIDRÁULICA, EM VIDRO TEMPERADO, 90X210 CM, ESPESSURA 10 MM, INCLUSIVE ACESSÓRIOS. AF_01/2021</v>
          </cell>
          <cell r="E153" t="str">
            <v>UN</v>
          </cell>
          <cell r="F153">
            <v>1</v>
          </cell>
          <cell r="G153" t="str">
            <v>R$ 2.514,96</v>
          </cell>
          <cell r="H153">
            <v>1886.22</v>
          </cell>
          <cell r="I153">
            <v>1886.22</v>
          </cell>
          <cell r="J153">
            <v>2310.0536339999999</v>
          </cell>
        </row>
        <row r="154">
          <cell r="B154">
            <v>11186</v>
          </cell>
          <cell r="C154" t="str">
            <v>SINAPI</v>
          </cell>
          <cell r="D154" t="str">
            <v>ESPELHO CRISTAL E = 4 MM</v>
          </cell>
          <cell r="E154" t="str">
            <v>M2</v>
          </cell>
          <cell r="F154">
            <v>3.6</v>
          </cell>
          <cell r="G154">
            <v>422.83</v>
          </cell>
          <cell r="H154">
            <v>317.1225</v>
          </cell>
          <cell r="I154">
            <v>1141.6410000000001</v>
          </cell>
          <cell r="J154">
            <v>1398.1677327</v>
          </cell>
        </row>
        <row r="155">
          <cell r="B155">
            <v>11484</v>
          </cell>
          <cell r="C155" t="str">
            <v>SINAPI</v>
          </cell>
          <cell r="D155" t="str">
            <v>FECHADURA DE SOBREPOR PARA PORTAO, EM ACO INOX COM ACABAMENTO CROMADO, CAIXA DE 100 MM, INCLUINDO CHAVE TIPO CILINDRO</v>
          </cell>
          <cell r="E155" t="str">
            <v>UN</v>
          </cell>
          <cell r="F155">
            <v>2</v>
          </cell>
          <cell r="G155" t="str">
            <v>R$ 69,76</v>
          </cell>
          <cell r="H155">
            <v>52.320000000000007</v>
          </cell>
          <cell r="I155">
            <v>104.64000000000001</v>
          </cell>
          <cell r="J155">
            <v>128.15260800000001</v>
          </cell>
        </row>
        <row r="156">
          <cell r="B156" t="str">
            <v>COMP. 8</v>
          </cell>
          <cell r="C156" t="str">
            <v>COMPOSIÇÃO</v>
          </cell>
          <cell r="D156" t="str">
            <v>RODAMEIO EM MADEIRA, MDF, COR IMBUIA, ALTURA 20CM, FIXADO COM COLA E PARAFUSOS</v>
          </cell>
          <cell r="E156" t="str">
            <v>M</v>
          </cell>
          <cell r="F156">
            <v>110.39</v>
          </cell>
          <cell r="G156" t="str">
            <v>R$ 80,56</v>
          </cell>
          <cell r="H156">
            <v>60.42</v>
          </cell>
          <cell r="I156">
            <v>6669.7638000000006</v>
          </cell>
          <cell r="J156">
            <v>8168.4597258599997</v>
          </cell>
        </row>
        <row r="157">
          <cell r="B157" t="str">
            <v>14.001.0300-0</v>
          </cell>
          <cell r="C157" t="str">
            <v>EMOP</v>
          </cell>
          <cell r="D157" t="str">
            <v>PERSIANA VERTICAL EM PVC,LAMINA COM LARGURA DE 89MM.FORNECIMENTO E COLOCACAO</v>
          </cell>
          <cell r="E157" t="str">
            <v>M2</v>
          </cell>
          <cell r="F157">
            <v>51.6</v>
          </cell>
          <cell r="G157" t="str">
            <v>R$ 251,78</v>
          </cell>
          <cell r="H157">
            <v>188.83500000000001</v>
          </cell>
          <cell r="I157">
            <v>9743.8860000000004</v>
          </cell>
          <cell r="J157">
            <v>11933.3371842</v>
          </cell>
        </row>
        <row r="158">
          <cell r="B158" t="str">
            <v>14.002.0250-0</v>
          </cell>
          <cell r="C158" t="str">
            <v>EMOP</v>
          </cell>
          <cell r="D158" t="str">
            <v>ESCADA DE MARINHEIRO,COM LARGURA DE 0,40M,EXECUTADA EM BARRAS DE FERRO DE 1.1/2"X1/4",SENDO OS DEGRAUS EM FERRO REDONDODE 5/8",ESPACADOS DE 30CM.FORNECIMENTO E COLOCACAO</v>
          </cell>
          <cell r="E158" t="str">
            <v>M</v>
          </cell>
          <cell r="F158">
            <v>5</v>
          </cell>
          <cell r="G158" t="str">
            <v>R$ 560,55</v>
          </cell>
          <cell r="H158">
            <v>420.41249999999997</v>
          </cell>
          <cell r="I158">
            <v>2102.0625</v>
          </cell>
          <cell r="J158">
            <v>2574.3959437499998</v>
          </cell>
        </row>
        <row r="159">
          <cell r="B159" t="str">
            <v>COMP. 9</v>
          </cell>
          <cell r="C159" t="str">
            <v>COMPOSIÇÃO</v>
          </cell>
          <cell r="D159" t="str">
            <v>BISCICLETÁRIO EM AÇO INOX, FIXADO EM PISO INTERTRAVADO,ALT.
82CM E LARG. 45CM FORNECIMENTO E INSTALAÇÃO</v>
          </cell>
          <cell r="E159" t="str">
            <v>UN</v>
          </cell>
          <cell r="F159">
            <v>3</v>
          </cell>
          <cell r="G159" t="str">
            <v>R$ 375,95</v>
          </cell>
          <cell r="H159">
            <v>281.96249999999998</v>
          </cell>
          <cell r="I159">
            <v>845.88749999999993</v>
          </cell>
          <cell r="J159">
            <v>1035.9584212499999</v>
          </cell>
        </row>
        <row r="160">
          <cell r="B160" t="str">
            <v>COMP. 10</v>
          </cell>
          <cell r="C160" t="str">
            <v>COMPOSIÇÃO</v>
          </cell>
          <cell r="D160" t="str">
            <v>PAINEL DE MDF E=18MM, COR CARVALHO NATURAL, FIXADO EM PAREDE COM PARAFUSO</v>
          </cell>
          <cell r="E160" t="str">
            <v>M2</v>
          </cell>
          <cell r="F160">
            <v>10.5</v>
          </cell>
          <cell r="G160" t="str">
            <v>R$ 437,29</v>
          </cell>
          <cell r="H160">
            <v>327.96750000000003</v>
          </cell>
          <cell r="I160">
            <v>3443.6587500000005</v>
          </cell>
          <cell r="J160">
            <v>4217.4488711250006</v>
          </cell>
        </row>
        <row r="161">
          <cell r="B161" t="str">
            <v>COMP. 11</v>
          </cell>
          <cell r="C161" t="str">
            <v>COMPOSIÇÃO</v>
          </cell>
          <cell r="D161" t="str">
            <v>TOTEM DE ACM, CONFORME PROJETO, INCLUINDO ESTRUTURA INTERNA DE SUPORTE E FIXAÇÃO EM BASE DE CONCRETO</v>
          </cell>
          <cell r="E161" t="str">
            <v>UN</v>
          </cell>
          <cell r="F161">
            <v>1</v>
          </cell>
          <cell r="G161" t="str">
            <v>R$ 9.284,43</v>
          </cell>
          <cell r="H161">
            <v>6963.3225000000002</v>
          </cell>
          <cell r="I161">
            <v>6963.3225000000002</v>
          </cell>
          <cell r="J161">
            <v>8527.9810657500002</v>
          </cell>
        </row>
        <row r="162">
          <cell r="D162" t="str">
            <v>INSTALAÇÕES HIDROSSANITÁRIAS</v>
          </cell>
          <cell r="I162">
            <v>57842.68057500002</v>
          </cell>
          <cell r="J162">
            <v>70839.930900202482</v>
          </cell>
        </row>
        <row r="163">
          <cell r="B163" t="str">
            <v>15.001.0069-0</v>
          </cell>
          <cell r="C163" t="str">
            <v>EMOP</v>
          </cell>
          <cell r="D163" t="str">
            <v>ABRIGO PARA HIDROMETRO DE 1/2" OU 3/4",NAS DIMENSOES DE (0,45X0,12X0,42)M,EMBUTIDO NO MURO,REVESTIDO COM ARGAMASSA DE CIMENTO E SAIBRO,NO TRACO 1:6,COM FUNDO DE CONCRETO NO  TRACO 1:3 E ESPESSURA 3CM,PORTA DE (46X43)CM EM GRADE CONFECCIONADAEM FERRO CHATO DE 1/2" COM ESPESSURA DE 1/8" E CADEADO DE 30MM,CONFORME PROJETO Nº 2089/EMOP</v>
          </cell>
          <cell r="E163" t="str">
            <v>UN</v>
          </cell>
          <cell r="F163">
            <v>1</v>
          </cell>
          <cell r="G163" t="str">
            <v>R$ 566,73</v>
          </cell>
          <cell r="H163">
            <v>425.04750000000001</v>
          </cell>
          <cell r="I163">
            <v>425.04750000000001</v>
          </cell>
          <cell r="J163">
            <v>520.55567324999993</v>
          </cell>
        </row>
        <row r="164">
          <cell r="B164" t="str">
            <v>15.001.0076-0</v>
          </cell>
          <cell r="C164" t="str">
            <v>EMOP</v>
          </cell>
          <cell r="D164" t="str">
            <v>ABRIGO PARA BOMBA,NAS DIMENSOES DE (1,20X0,60X0,80)M,EM ALVENARIA DE TIJOLOS FURADOS DE (10X20X20)CM,PAREDES DE MEIA VEZ,RESTIDAS COM ARGAMASSA DE CIMENTO E SAIBRO,NO TRACO 1:6,COMFUNDO DE CONCRETO E TAMPA DE CONCRETO ARMADO,PORTA DE (100X60)CM EM CHAPA DE FERRO Nº16 E CADEADO DE 30MM,CONFORME PROJETO Nº2799/EMOP</v>
          </cell>
          <cell r="E164" t="str">
            <v>UN</v>
          </cell>
          <cell r="F164">
            <v>1</v>
          </cell>
          <cell r="G164" t="str">
            <v>R$ 1.252,75</v>
          </cell>
          <cell r="H164">
            <v>939.5625</v>
          </cell>
          <cell r="I164">
            <v>939.5625</v>
          </cell>
          <cell r="J164">
            <v>1150.6821937499999</v>
          </cell>
        </row>
        <row r="165">
          <cell r="B165">
            <v>12774</v>
          </cell>
          <cell r="C165" t="str">
            <v>SINAPI</v>
          </cell>
          <cell r="D165" t="str">
            <v>HIDROMETRO UNIJATO / MEDIDOR DE AGUA, DN 3/4", VAZAO MAXIMA DE 5 M3/H, PARA AGUA POTAVEL FRIA, RELOJOARIA PLANA, CLASSE B, HORIZONTAL (SEM CONEXOES)0,</v>
          </cell>
          <cell r="E165" t="str">
            <v>UN</v>
          </cell>
          <cell r="F165">
            <v>1</v>
          </cell>
          <cell r="G165" t="str">
            <v>R$ 337,36</v>
          </cell>
          <cell r="H165">
            <v>253.02</v>
          </cell>
          <cell r="I165">
            <v>253.02</v>
          </cell>
          <cell r="J165">
            <v>309.87359399999997</v>
          </cell>
        </row>
        <row r="166">
          <cell r="B166">
            <v>95635</v>
          </cell>
          <cell r="C166" t="str">
            <v>SINAPI</v>
          </cell>
          <cell r="D166" t="str">
            <v>KIT CAVALETE PARA MEDIÇÃO DE ÁGUA - ENTRADA PRINCIPAL, EM PVC SOLDÁVEL DN 25 (¾")   FORNECIMENTO E INSTALAÇÃO (EXCLUSIVE HIDRÔMETRO). AF_11/2016</v>
          </cell>
          <cell r="E166" t="str">
            <v>UN</v>
          </cell>
          <cell r="F166">
            <v>1</v>
          </cell>
          <cell r="G166" t="str">
            <v>R$ 262,57</v>
          </cell>
          <cell r="H166">
            <v>196.92750000000001</v>
          </cell>
          <cell r="I166">
            <v>196.92750000000001</v>
          </cell>
          <cell r="J166">
            <v>241.17710925</v>
          </cell>
        </row>
        <row r="167">
          <cell r="B167">
            <v>98102</v>
          </cell>
          <cell r="C167" t="str">
            <v>SINAPI</v>
          </cell>
          <cell r="D167" t="str">
            <v>CAIXA DE GORDURA SIMPLES, CIRCULAR, EM CONCRETO PRÉ-MOLDADO, DIÂMETRO INTERNO = 0,4 M, ALTURA INTERNA = 0,4 M. AF_12/2020</v>
          </cell>
          <cell r="E167" t="str">
            <v>UN</v>
          </cell>
          <cell r="F167">
            <v>1</v>
          </cell>
          <cell r="G167" t="str">
            <v>R$ 218,69</v>
          </cell>
          <cell r="H167">
            <v>164.01749999999998</v>
          </cell>
          <cell r="I167">
            <v>164.01749999999998</v>
          </cell>
          <cell r="J167">
            <v>200.87223224999997</v>
          </cell>
        </row>
        <row r="168">
          <cell r="B168">
            <v>97974</v>
          </cell>
          <cell r="C168" t="str">
            <v>SINAPI</v>
          </cell>
          <cell r="D168" t="str">
            <v>POÇO DE INSPEÇÃO CIRCULAR PARA ESGOTO, EM CONCRETO PRÉ- MOLDADO, DIÂMETRO INTERNO = 0,60 M, PROFUNDIDADE = 0,90 M, EXCLUINDO TAMPÃO. AF_12/2020_PA</v>
          </cell>
          <cell r="E168" t="str">
            <v>UN</v>
          </cell>
          <cell r="F168">
            <v>10</v>
          </cell>
          <cell r="G168" t="str">
            <v>R$ 588,06</v>
          </cell>
          <cell r="H168">
            <v>441.04499999999996</v>
          </cell>
          <cell r="I168">
            <v>4410.45</v>
          </cell>
          <cell r="J168">
            <v>5401.478114999999</v>
          </cell>
        </row>
        <row r="169">
          <cell r="B169">
            <v>98114</v>
          </cell>
          <cell r="C169" t="str">
            <v>SINAPI</v>
          </cell>
          <cell r="D169" t="str">
            <v>TAMPA CIRCULAR PARA ESGOTO E DRENAGEM, EM FERRO FUNDIDO, DIÂMETRO INTERNO = 0,6 M. AF_12/2020</v>
          </cell>
          <cell r="E169" t="str">
            <v>UN</v>
          </cell>
          <cell r="F169">
            <v>10</v>
          </cell>
          <cell r="G169" t="str">
            <v>R$ 648,43</v>
          </cell>
          <cell r="H169">
            <v>486.32249999999999</v>
          </cell>
          <cell r="I169">
            <v>4863.2250000000004</v>
          </cell>
          <cell r="J169">
            <v>5955.9916574999997</v>
          </cell>
        </row>
        <row r="170">
          <cell r="B170">
            <v>89707</v>
          </cell>
          <cell r="C170" t="str">
            <v>SINAPI</v>
          </cell>
          <cell r="D170" t="str">
            <v>CAIXA SIFONADA, PVC, DN 100 X 100 X 50 MM, JUNTA ELÁSTICA, FORNECIDA E INSTALADA EM RAMAL DE DESCARGA OU EM RAMAL DE ESGOTO SANITÁRIO. AF_08/2022</v>
          </cell>
          <cell r="E170" t="str">
            <v>UN</v>
          </cell>
          <cell r="F170">
            <v>8</v>
          </cell>
          <cell r="G170" t="str">
            <v>R$ 65,58</v>
          </cell>
          <cell r="H170">
            <v>49.185000000000002</v>
          </cell>
          <cell r="I170">
            <v>393.48</v>
          </cell>
          <cell r="J170">
            <v>481.89495599999998</v>
          </cell>
        </row>
        <row r="171">
          <cell r="B171">
            <v>89708</v>
          </cell>
          <cell r="C171" t="str">
            <v>SINAPI</v>
          </cell>
          <cell r="D171" t="str">
            <v>CAIXA SIFONADA, PVC, DN 150 X 185 X 75 MM, JUNTA ELÁSTICA, FORNECIDA E INSTALADA EM RAMAL DE DESCARGA OU EM RAMAL DE ESGOTO SANITÁRIO. AF_08/2022</v>
          </cell>
          <cell r="E171" t="str">
            <v>UN</v>
          </cell>
          <cell r="F171">
            <v>3</v>
          </cell>
          <cell r="G171" t="str">
            <v>R$ 138,19</v>
          </cell>
          <cell r="H171">
            <v>103.6425</v>
          </cell>
          <cell r="I171">
            <v>310.92750000000001</v>
          </cell>
          <cell r="J171">
            <v>380.79290924999998</v>
          </cell>
        </row>
        <row r="172">
          <cell r="B172">
            <v>89711</v>
          </cell>
          <cell r="C172" t="str">
            <v>SINAPI</v>
          </cell>
          <cell r="D172" t="str">
            <v>TUBO PVC, SERIE NORMAL, ESGOTO PREDIAL, DN 40 MM, FORNECIDO E INSTALADO EM RAMAL DE DESCARGA OU RAMAL DE ESGOTO SANITÁRIO. AF_08/2022</v>
          </cell>
          <cell r="E172" t="str">
            <v>M</v>
          </cell>
          <cell r="F172">
            <v>13.68</v>
          </cell>
          <cell r="G172" t="str">
            <v>R$ 28,15</v>
          </cell>
          <cell r="H172">
            <v>21.112499999999997</v>
          </cell>
          <cell r="I172">
            <v>288.81899999999996</v>
          </cell>
          <cell r="J172">
            <v>353.71662929999991</v>
          </cell>
        </row>
        <row r="173">
          <cell r="B173">
            <v>89712</v>
          </cell>
          <cell r="C173" t="str">
            <v>SINAPI</v>
          </cell>
          <cell r="D173" t="str">
            <v>TUBO PVC, SERIE NORMAL, ESGOTO PREDIAL, DN 50 MM, FORNECIDO E INSTALADO EM RAMAL DE DESCARGA OU RAMAL DE ESGOTO SANITÁRIO. AF_08/2022</v>
          </cell>
          <cell r="E173" t="str">
            <v>M</v>
          </cell>
          <cell r="F173">
            <v>13.45</v>
          </cell>
          <cell r="G173" t="str">
            <v>R$ 34,80</v>
          </cell>
          <cell r="H173">
            <v>26.099999999999998</v>
          </cell>
          <cell r="I173">
            <v>351.04499999999996</v>
          </cell>
          <cell r="J173">
            <v>429.92481149999992</v>
          </cell>
        </row>
        <row r="174">
          <cell r="B174">
            <v>89713</v>
          </cell>
          <cell r="C174" t="str">
            <v>SINAPI</v>
          </cell>
          <cell r="D174" t="str">
            <v>TUBO PVC, SERIE NORMAL, ESGOTO PREDIAL, DN 75 MM, FORNECIDO E INSTALADO EM RAMAL DE DESCARGA OU RAMAL DE ESGOTO SANITÁRIO. AF_08/2022</v>
          </cell>
          <cell r="E174" t="str">
            <v>M</v>
          </cell>
          <cell r="F174">
            <v>10.69</v>
          </cell>
          <cell r="G174" t="str">
            <v>R$ 43,12</v>
          </cell>
          <cell r="H174">
            <v>32.339999999999996</v>
          </cell>
          <cell r="I174">
            <v>345.71459999999996</v>
          </cell>
          <cell r="J174">
            <v>423.3966706199999</v>
          </cell>
        </row>
        <row r="175">
          <cell r="B175">
            <v>89714</v>
          </cell>
          <cell r="C175" t="str">
            <v>SINAPI</v>
          </cell>
          <cell r="D175" t="str">
            <v>TUBO PVC, SERIE NORMAL, ESGOTO PREDIAL, DN 100 MM, FORNECIDO E INSTALADO EM RAMAL DE DESCARGA OU RAMAL DE ESGOTO SANITÁRIO. AF_08/2022</v>
          </cell>
          <cell r="E175" t="str">
            <v>M</v>
          </cell>
          <cell r="F175">
            <v>58.99</v>
          </cell>
          <cell r="G175" t="str">
            <v>R$ 48,50</v>
          </cell>
          <cell r="H175">
            <v>36.375</v>
          </cell>
          <cell r="I175">
            <v>2145.76125</v>
          </cell>
          <cell r="J175">
            <v>2627.9138028749999</v>
          </cell>
        </row>
        <row r="176">
          <cell r="B176">
            <v>104086</v>
          </cell>
          <cell r="C176" t="str">
            <v>SINAPI</v>
          </cell>
          <cell r="D176" t="str">
            <v>TUBO, PVC OCRE, JUNTA ELÁSTICA, DN 150 MM, PARA COLETOR PREDIAL DE ESGOTO. AF_06/2022</v>
          </cell>
          <cell r="E176" t="str">
            <v>M</v>
          </cell>
          <cell r="F176">
            <v>1.72</v>
          </cell>
          <cell r="G176" t="str">
            <v>R$ 109,34</v>
          </cell>
          <cell r="H176">
            <v>82.004999999999995</v>
          </cell>
          <cell r="I176">
            <v>141.04859999999999</v>
          </cell>
          <cell r="J176">
            <v>172.74222041999997</v>
          </cell>
        </row>
        <row r="177">
          <cell r="B177">
            <v>104063</v>
          </cell>
          <cell r="C177" t="str">
            <v>SINAPI</v>
          </cell>
          <cell r="D177" t="str">
            <v>CURVA LONGA, 45 GRAUS, PVC OCRE, JUNTA ELÁSTICA, DN 100 MM, PARA COLETOR PREDIAL DE ESGOTO. AF_06/2022</v>
          </cell>
          <cell r="E177" t="str">
            <v>UN</v>
          </cell>
          <cell r="F177">
            <v>1</v>
          </cell>
          <cell r="G177" t="str">
            <v>R$ 76,95</v>
          </cell>
          <cell r="H177">
            <v>57.712500000000006</v>
          </cell>
          <cell r="I177">
            <v>57.712500000000006</v>
          </cell>
          <cell r="J177">
            <v>70.680498749999998</v>
          </cell>
        </row>
        <row r="178">
          <cell r="B178">
            <v>89746</v>
          </cell>
          <cell r="C178" t="str">
            <v>SINAPI</v>
          </cell>
          <cell r="D178" t="str">
            <v>JOELHO 45 GRAUS, PVC, SERIE NORMAL, ESGOTO PREDIAL, DN 100 MM, JUNTA ELÁSTICA, FORNECIDO E INSTALADO EM RAMAL DE DESCARGA OU RAMAL DE ESGOTO SANITÁRIO. AF_08/2022</v>
          </cell>
          <cell r="E178" t="str">
            <v>UN</v>
          </cell>
          <cell r="F178">
            <v>5</v>
          </cell>
          <cell r="G178" t="str">
            <v>R$ 32,82</v>
          </cell>
          <cell r="H178">
            <v>24.615000000000002</v>
          </cell>
          <cell r="I178">
            <v>123.07500000000002</v>
          </cell>
          <cell r="J178">
            <v>150.7299525</v>
          </cell>
        </row>
        <row r="179">
          <cell r="B179">
            <v>89739</v>
          </cell>
          <cell r="C179" t="str">
            <v>SINAPI</v>
          </cell>
          <cell r="D179" t="str">
            <v>JOELHO 45 GRAUS, PVC, SERIE NORMAL, ESGOTO PREDIAL, DN 75 MM, JUNTA ELÁSTICA, FORNECIDO E INSTALADO EM RAMAL DE DESCARGA OU RAMAL DE ESGOTO SANITÁRIO. AF_08/2022</v>
          </cell>
          <cell r="E179" t="str">
            <v>UN</v>
          </cell>
          <cell r="F179">
            <v>5</v>
          </cell>
          <cell r="G179" t="str">
            <v>R$ 27,39</v>
          </cell>
          <cell r="H179">
            <v>20.5425</v>
          </cell>
          <cell r="I179">
            <v>102.71250000000001</v>
          </cell>
          <cell r="J179">
            <v>125.79199874999999</v>
          </cell>
        </row>
        <row r="180">
          <cell r="B180">
            <v>89732</v>
          </cell>
          <cell r="C180" t="str">
            <v>SINAPI</v>
          </cell>
          <cell r="D180" t="str">
            <v>JOELHO 45 GRAUS, PVC, SERIE NORMAL, ESGOTO PREDIAL, DN 50 MM, JUNTA ELÁSTICA, FORNECIDO E INSTALADO EM RAMAL DE DESCARGA OU RAMAL DE ESGOTO SANITÁRIO. AF_08/2022</v>
          </cell>
          <cell r="E180" t="str">
            <v>UN</v>
          </cell>
          <cell r="F180">
            <v>9</v>
          </cell>
          <cell r="G180" t="str">
            <v>R$ 18,64</v>
          </cell>
          <cell r="H180">
            <v>13.98</v>
          </cell>
          <cell r="I180">
            <v>125.82000000000001</v>
          </cell>
          <cell r="J180">
            <v>154.09175400000001</v>
          </cell>
        </row>
        <row r="181">
          <cell r="B181">
            <v>89726</v>
          </cell>
          <cell r="C181" t="str">
            <v>SINAPI</v>
          </cell>
          <cell r="D181" t="str">
            <v>JOELHO 45 GRAUS, PVC, SERIE NORMAL, ESGOTO PREDIAL, DN 40 MM, JUNTA SOLDÁVEL, FORNECIDO E INSTALADO EM RAMAL DE DESCARGA OU RAMAL DE ESGOTO SANITÁRIO. AF_08/2022</v>
          </cell>
          <cell r="E181" t="str">
            <v>UN</v>
          </cell>
          <cell r="F181">
            <v>7</v>
          </cell>
          <cell r="G181" t="str">
            <v>R$ 13,36</v>
          </cell>
          <cell r="H181">
            <v>10.02</v>
          </cell>
          <cell r="I181">
            <v>70.14</v>
          </cell>
          <cell r="J181">
            <v>85.900458</v>
          </cell>
        </row>
        <row r="182">
          <cell r="B182">
            <v>89748</v>
          </cell>
          <cell r="C182" t="str">
            <v>SINAPI</v>
          </cell>
          <cell r="D182" t="str">
            <v>CURVA CURTA 90 GRAUS, PVC, SERIE NORMAL, ESGOTO PREDIAL, DN 100 MM, JUNTA ELÁSTICA, FORNECIDO E INSTALADO EM RAMAL DE DESCARGA OU RAMAL DE ESGOTO SANITÁRIO. AF_08/2022</v>
          </cell>
          <cell r="E182" t="str">
            <v>UN</v>
          </cell>
          <cell r="F182">
            <v>1</v>
          </cell>
          <cell r="G182" t="str">
            <v>R$ 48,27</v>
          </cell>
          <cell r="H182">
            <v>36.202500000000001</v>
          </cell>
          <cell r="I182">
            <v>36.202500000000001</v>
          </cell>
          <cell r="J182">
            <v>44.337201749999998</v>
          </cell>
        </row>
        <row r="183">
          <cell r="B183">
            <v>89744</v>
          </cell>
          <cell r="C183" t="str">
            <v>SINAPI</v>
          </cell>
          <cell r="D183" t="str">
            <v>JOELHO 90 GRAUS, PVC, SERIE NORMAL, ESGOTO PREDIAL, DN 100 MM, JUNTA ELÁSTICA, FORNECIDO E INSTALADO EM RAMAL DE DESCARGA OU RAMAL DE ESGOTO SANITÁRIO. AF_08/2022</v>
          </cell>
          <cell r="E183" t="str">
            <v>UN</v>
          </cell>
          <cell r="F183">
            <v>6</v>
          </cell>
          <cell r="G183" t="str">
            <v>R$ 31,91</v>
          </cell>
          <cell r="H183">
            <v>23.932500000000001</v>
          </cell>
          <cell r="I183">
            <v>143.595</v>
          </cell>
          <cell r="J183">
            <v>175.86079649999999</v>
          </cell>
        </row>
        <row r="184">
          <cell r="B184">
            <v>89731</v>
          </cell>
          <cell r="C184" t="str">
            <v>SINAPI</v>
          </cell>
          <cell r="D184" t="str">
            <v>JOELHO 90 GRAUS, PVC, SERIE NORMAL, ESGOTO PREDIAL, DN 50 MM, JUNTA ELÁSTICA, FORNECIDO E INSTALADO EM RAMAL DE DESCARGA OU RAMAL DE ESGOTO SANITÁRIO. AF_08/2022</v>
          </cell>
          <cell r="E184" t="str">
            <v>UN</v>
          </cell>
          <cell r="F184">
            <v>1</v>
          </cell>
          <cell r="G184" t="str">
            <v>R$ 17,85</v>
          </cell>
          <cell r="H184">
            <v>13.387500000000001</v>
          </cell>
          <cell r="I184">
            <v>13.387500000000001</v>
          </cell>
          <cell r="J184">
            <v>16.395671249999999</v>
          </cell>
        </row>
        <row r="185">
          <cell r="B185">
            <v>89728</v>
          </cell>
          <cell r="C185" t="str">
            <v>SINAPI</v>
          </cell>
          <cell r="D185" t="str">
            <v>CURVA CURTA 90 GRAUS, PVC, SERIE NORMAL, ESGOTO PREDIAL, DN 40 MM, JUNTA SOLDÁVEL, FORNECIDO E INSTALADO EM RAMAL DE DESCARGA OU RAMAL DE ESGOTO SANITÁRIO. AF_08/2022</v>
          </cell>
          <cell r="E185" t="str">
            <v>UN</v>
          </cell>
          <cell r="F185">
            <v>11</v>
          </cell>
          <cell r="G185" t="str">
            <v>R$ 16,29</v>
          </cell>
          <cell r="H185">
            <v>12.217499999999999</v>
          </cell>
          <cell r="I185">
            <v>134.39249999999998</v>
          </cell>
          <cell r="J185">
            <v>164.59049474999998</v>
          </cell>
        </row>
        <row r="186">
          <cell r="B186">
            <v>89724</v>
          </cell>
          <cell r="C186" t="str">
            <v>SINAPI</v>
          </cell>
          <cell r="D186" t="str">
            <v>JOELHO 90 GRAUS, PVC, SERIE NORMAL, ESGOTO PREDIAL, DN 40 MM, JUNTA SOLDÁVEL, FORNECIDO E INSTALADO EM RAMAL DE DESCARGA OU RAMAL DE ESGOTO SANITÁRIO. AF_08/2022</v>
          </cell>
          <cell r="E186" t="str">
            <v>UN</v>
          </cell>
          <cell r="F186">
            <v>13</v>
          </cell>
          <cell r="G186" t="str">
            <v>R$ 13,11</v>
          </cell>
          <cell r="H186">
            <v>9.8324999999999996</v>
          </cell>
          <cell r="I186">
            <v>127.82249999999999</v>
          </cell>
          <cell r="J186">
            <v>156.54421574999998</v>
          </cell>
        </row>
        <row r="187">
          <cell r="B187">
            <v>104345</v>
          </cell>
          <cell r="C187" t="str">
            <v>SINAPI</v>
          </cell>
          <cell r="D187" t="str">
            <v>JUNÇÃO DE REDUÇÃO INVERTIDA, PVC, SÉRIE NORMAL, ESGOTO PREDIAL, DN 100 X 50 MM, JUNTA ELÁSTICA, FORNECIDO E INSTALADO EM RAMAL DE DESCARGA OU RAMAL DE ESGOTO SANITÁRIO. AF_08/2022</v>
          </cell>
          <cell r="E187" t="str">
            <v>UN</v>
          </cell>
          <cell r="F187">
            <v>9</v>
          </cell>
          <cell r="G187" t="str">
            <v>R$ 48,86</v>
          </cell>
          <cell r="H187">
            <v>36.644999999999996</v>
          </cell>
          <cell r="I187">
            <v>329.80499999999995</v>
          </cell>
          <cell r="J187">
            <v>403.91218349999991</v>
          </cell>
        </row>
        <row r="188">
          <cell r="B188">
            <v>89797</v>
          </cell>
          <cell r="C188" t="str">
            <v>SINAPI</v>
          </cell>
          <cell r="D188" t="str">
            <v>JUNÇÃO SIMPLES, PVC, SERIE NORMAL, ESGOTO PREDIAL, DN 100 X 100 MM, JUNTA ELÁSTICA, FORNECIDO E INSTALADO EM RAMAL DE DESCARGA OU RAMAL DE ESGOTO SANITÁRIO. AF_08/2022</v>
          </cell>
          <cell r="E188" t="str">
            <v>UN</v>
          </cell>
          <cell r="F188">
            <v>4</v>
          </cell>
          <cell r="G188" t="str">
            <v>R$ 58,19</v>
          </cell>
          <cell r="H188">
            <v>43.642499999999998</v>
          </cell>
          <cell r="I188">
            <v>174.57</v>
          </cell>
          <cell r="J188">
            <v>213.79587899999999</v>
          </cell>
        </row>
        <row r="189">
          <cell r="B189">
            <v>89785</v>
          </cell>
          <cell r="C189" t="str">
            <v>SINAPI</v>
          </cell>
          <cell r="D189" t="str">
            <v>JUNÇÃO SIMPLES, PVC, SERIE NORMAL, ESGOTO PREDIAL, DN 50 X 50 MM, JUNTA ELÁSTICA, FORNECIDO E INSTALADO EM RAMAL DE DESCARGA OU RAMAL DE ESGOTO SANITÁRIO. AF_08/2022</v>
          </cell>
          <cell r="E189" t="str">
            <v>UN</v>
          </cell>
          <cell r="F189">
            <v>1</v>
          </cell>
          <cell r="G189" t="str">
            <v>R$ 30,91</v>
          </cell>
          <cell r="H189">
            <v>23.182500000000001</v>
          </cell>
          <cell r="I189">
            <v>23.182500000000001</v>
          </cell>
          <cell r="J189">
            <v>28.391607749999999</v>
          </cell>
        </row>
        <row r="190">
          <cell r="B190">
            <v>89783</v>
          </cell>
          <cell r="C190" t="str">
            <v>SINAPI</v>
          </cell>
          <cell r="D190" t="str">
            <v>JUNÇÃO SIMPLES, PVC, SERIE NORMAL, ESGOTO PREDIAL, DN 40 MM, JUNTA SOLDÁVEL, FORNECIDO E INSTALADO EM RAMAL DE DESCARGA OU RAMAL DE ESGOTO SANITÁRIO. AF_08/2022</v>
          </cell>
          <cell r="E190" t="str">
            <v>UN</v>
          </cell>
          <cell r="F190">
            <v>1</v>
          </cell>
          <cell r="G190" t="str">
            <v>R$ 18,84</v>
          </cell>
          <cell r="H190">
            <v>14.129999999999999</v>
          </cell>
          <cell r="I190">
            <v>14.129999999999999</v>
          </cell>
          <cell r="J190">
            <v>17.305010999999997</v>
          </cell>
        </row>
        <row r="191">
          <cell r="B191">
            <v>89778</v>
          </cell>
          <cell r="C191" t="str">
            <v>SINAPI</v>
          </cell>
          <cell r="D191" t="str">
            <v>LUVA SIMPLES, PVC, SERIE NORMAL, ESGOTO PREDIAL, DN 100 MM, JUNTA ELÁSTICA, FORNECIDO E INSTALADO EM RAMAL DE DESCARGA OU RAMAL DE ESGOTO SANITÁRIO. AF_08/2022</v>
          </cell>
          <cell r="E191" t="str">
            <v>UN</v>
          </cell>
          <cell r="F191">
            <v>34</v>
          </cell>
          <cell r="G191" t="str">
            <v>R$ 21,02</v>
          </cell>
          <cell r="H191">
            <v>15.765000000000001</v>
          </cell>
          <cell r="I191">
            <v>536.01</v>
          </cell>
          <cell r="J191">
            <v>656.45144699999992</v>
          </cell>
        </row>
        <row r="192">
          <cell r="B192">
            <v>89774</v>
          </cell>
          <cell r="C192" t="str">
            <v>SINAPI</v>
          </cell>
          <cell r="D192" t="str">
            <v>LUVA SIMPLES, PVC, SERIE NORMAL, ESGOTO PREDIAL, DN 75 MM, JUNTA ELÁSTICA, FORNECIDO E INSTALADO EM RAMAL DE DESCARGA OU RAMAL DE ESGOTO SANITÁRIO. AF_08/2022</v>
          </cell>
          <cell r="E192" t="str">
            <v>UN</v>
          </cell>
          <cell r="F192">
            <v>8</v>
          </cell>
          <cell r="G192" t="str">
            <v>R$ 18,34</v>
          </cell>
          <cell r="H192">
            <v>13.754999999999999</v>
          </cell>
          <cell r="I192">
            <v>110.03999999999999</v>
          </cell>
          <cell r="J192">
            <v>134.76598799999999</v>
          </cell>
        </row>
        <row r="193">
          <cell r="B193">
            <v>89753</v>
          </cell>
          <cell r="C193" t="str">
            <v>SINAPI</v>
          </cell>
          <cell r="D193" t="str">
            <v>LUVA SIMPLES, PVC, SERIE NORMAL, ESGOTO PREDIAL, DN 50 MM, JUNTA ELÁSTICA, FORNECIDO E INSTALADO EM RAMAL DE DESCARGA OU RAMAL DE ESGOTO SANITÁRIO. AF_08/2022</v>
          </cell>
          <cell r="E193" t="str">
            <v>UN</v>
          </cell>
          <cell r="F193">
            <v>27</v>
          </cell>
          <cell r="G193" t="str">
            <v>R$ 11,51</v>
          </cell>
          <cell r="H193">
            <v>8.6325000000000003</v>
          </cell>
          <cell r="I193">
            <v>233.07750000000001</v>
          </cell>
          <cell r="J193">
            <v>285.45001424999998</v>
          </cell>
        </row>
        <row r="194">
          <cell r="B194">
            <v>89752</v>
          </cell>
          <cell r="C194" t="str">
            <v>SINAPI</v>
          </cell>
          <cell r="D194" t="str">
            <v>LUVA SIMPLES, PVC, SERIE NORMAL, ESGOTO PREDIAL, DN 40 MM, JUNTA SOLDÁVEL, FORNECIDO E INSTALADO EM RAMAL DE DESCARGA OU RAMAL DE ESGOTO SANITÁRIO. AF_08/2022</v>
          </cell>
          <cell r="E194" t="str">
            <v>UN</v>
          </cell>
          <cell r="F194">
            <v>20</v>
          </cell>
          <cell r="G194" t="str">
            <v>R$ 9,55</v>
          </cell>
          <cell r="H194">
            <v>7.1625000000000005</v>
          </cell>
          <cell r="I194">
            <v>143.25</v>
          </cell>
          <cell r="J194">
            <v>175.43827499999998</v>
          </cell>
        </row>
        <row r="195">
          <cell r="B195">
            <v>89549</v>
          </cell>
          <cell r="C195" t="str">
            <v>SINAPI</v>
          </cell>
          <cell r="D195" t="str">
            <v>REDUÇÃO EXCÊNTRICA, PVC, SERIE R, ÁGUA PLUVIAL, DN 75 X 50 MM, JUNTA ELÁSTICA, FORNECIDO E INSTALADO EM RAMAL DE ENCAMINHAMENTO. AF_06/2022</v>
          </cell>
          <cell r="E195" t="str">
            <v>UN</v>
          </cell>
          <cell r="F195">
            <v>1</v>
          </cell>
          <cell r="G195" t="str">
            <v>R$ 20,49</v>
          </cell>
          <cell r="H195">
            <v>15.3675</v>
          </cell>
          <cell r="I195">
            <v>15.3675</v>
          </cell>
          <cell r="J195">
            <v>18.820577249999999</v>
          </cell>
        </row>
        <row r="196">
          <cell r="B196">
            <v>89796</v>
          </cell>
          <cell r="C196" t="str">
            <v>SINAPI</v>
          </cell>
          <cell r="D196" t="str">
            <v>TE, PVC, SERIE NORMAL, ESGOTO PREDIAL, DN 100 X 100 MM, JUNTA ELÁSTICA, FORNECIDO E INSTALADO EM RAMAL DE DESCARGA OU RAMAL DE ESGOTO SANITÁRIO. AF_08/2022</v>
          </cell>
          <cell r="E196" t="str">
            <v>UN</v>
          </cell>
          <cell r="F196">
            <v>1</v>
          </cell>
          <cell r="G196" t="str">
            <v>R$ 49,44</v>
          </cell>
          <cell r="H196">
            <v>37.08</v>
          </cell>
          <cell r="I196">
            <v>37.08</v>
          </cell>
          <cell r="J196">
            <v>45.411875999999992</v>
          </cell>
        </row>
        <row r="197">
          <cell r="B197">
            <v>104344</v>
          </cell>
          <cell r="C197" t="str">
            <v>SINAPI</v>
          </cell>
          <cell r="D197" t="str">
            <v>TE, PVC, SÉRIE NORMAL, ESGOTO PREDIAL, DN 100 X 50 MM, JUNTA ELÁSTICA, FORNECIDO E INSTALADO EM RAMAL DE DESCARGA OU RAMAL DE ESGOTO SANITÁRIO. AF_08/2022</v>
          </cell>
          <cell r="E197" t="str">
            <v>UN</v>
          </cell>
          <cell r="F197">
            <v>1</v>
          </cell>
          <cell r="G197" t="str">
            <v>R$ 46,60</v>
          </cell>
          <cell r="H197">
            <v>34.950000000000003</v>
          </cell>
          <cell r="I197">
            <v>34.950000000000003</v>
          </cell>
          <cell r="J197">
            <v>42.803265000000003</v>
          </cell>
        </row>
        <row r="198">
          <cell r="B198">
            <v>104166</v>
          </cell>
          <cell r="C198" t="str">
            <v>SINAPI</v>
          </cell>
          <cell r="D198" t="str">
            <v>TUBO PVC, SÉRIE R, ÁGUA PLUVIAL, DN 150 MM, FORNECIDO E INSTALADO EM RAMAL DE ENCAMINHAMENTO. AF_06/2022</v>
          </cell>
          <cell r="E198" t="str">
            <v>M</v>
          </cell>
          <cell r="F198">
            <v>16.559999999999999</v>
          </cell>
          <cell r="G198" t="str">
            <v>R$ 84,78</v>
          </cell>
          <cell r="H198">
            <v>63.585000000000001</v>
          </cell>
          <cell r="I198">
            <v>1052.9675999999999</v>
          </cell>
          <cell r="J198">
            <v>1289.5694197199998</v>
          </cell>
        </row>
        <row r="199">
          <cell r="B199">
            <v>89512</v>
          </cell>
          <cell r="C199" t="str">
            <v>SINAPI</v>
          </cell>
          <cell r="D199" t="str">
            <v>TUBO PVC, SÉRIE R, ÁGUA PLUVIAL, DN 100 MM, FORNECIDO E INSTALADO EM RAMAL DE ENCAMINHAMENTO. AF_06/2022</v>
          </cell>
          <cell r="E199" t="str">
            <v>M</v>
          </cell>
          <cell r="F199">
            <v>66.239999999999995</v>
          </cell>
          <cell r="G199" t="str">
            <v>R$ 60,07</v>
          </cell>
          <cell r="H199">
            <v>45.052500000000002</v>
          </cell>
          <cell r="I199">
            <v>2984.2775999999999</v>
          </cell>
          <cell r="J199">
            <v>3654.8447767199996</v>
          </cell>
        </row>
        <row r="200">
          <cell r="B200">
            <v>89511</v>
          </cell>
          <cell r="C200" t="str">
            <v>SINAPI</v>
          </cell>
          <cell r="D200" t="str">
            <v>TUBO PVC, SÉRIE R, ÁGUA PLUVIAL, DN 75 MM, FORNECIDO E INSTALADO EM RAMAL DE ENCAMINHAMENTO. AF_06/2022</v>
          </cell>
          <cell r="E200" t="str">
            <v>M</v>
          </cell>
          <cell r="F200">
            <v>8.6199999999999992</v>
          </cell>
          <cell r="G200" t="str">
            <v>R$ 46,98</v>
          </cell>
          <cell r="H200">
            <v>35.234999999999999</v>
          </cell>
          <cell r="I200">
            <v>303.72569999999996</v>
          </cell>
          <cell r="J200">
            <v>371.9728647899999</v>
          </cell>
        </row>
        <row r="201">
          <cell r="B201">
            <v>104316</v>
          </cell>
          <cell r="C201" t="str">
            <v>SINAPI</v>
          </cell>
          <cell r="D201" t="str">
            <v>TUBO, PVC, SOLDÁVEL, DN 32 MM, INSTALADO EM DRENO DE AR CONDICIONADO - FORNECIMENTO E INSTALAÇÃO. AF_08/2022</v>
          </cell>
          <cell r="E201" t="str">
            <v>M</v>
          </cell>
          <cell r="F201">
            <v>48.3</v>
          </cell>
          <cell r="G201" t="str">
            <v>R$ 29,87</v>
          </cell>
          <cell r="H201">
            <v>22.4025</v>
          </cell>
          <cell r="I201">
            <v>1082.0407499999999</v>
          </cell>
          <cell r="J201">
            <v>1325.1753065249998</v>
          </cell>
        </row>
        <row r="202">
          <cell r="B202">
            <v>104168</v>
          </cell>
          <cell r="C202" t="str">
            <v>SINAPI</v>
          </cell>
          <cell r="D202" t="str">
            <v>JOELHO 45 GRAUS, PVC, SERIE R, ÁGUA PLUVIAL, DN 150 MM, JUNTA ELÁSTICA, FORNECIDO E INSTALADO EM RAMAL DE ENCAMINHAMENTO. AF_06/2022</v>
          </cell>
          <cell r="E202" t="str">
            <v>UN</v>
          </cell>
          <cell r="F202">
            <v>1</v>
          </cell>
          <cell r="G202" t="str">
            <v>R$ 128,28</v>
          </cell>
          <cell r="H202">
            <v>96.210000000000008</v>
          </cell>
          <cell r="I202">
            <v>96.210000000000008</v>
          </cell>
          <cell r="J202">
            <v>117.82838700000001</v>
          </cell>
        </row>
        <row r="203">
          <cell r="B203">
            <v>89531</v>
          </cell>
          <cell r="C203" t="str">
            <v>SINAPI</v>
          </cell>
          <cell r="D203" t="str">
            <v>JOELHO 45 GRAUS, PVC, SERIE R, ÁGUA PLUVIAL, DN 100 MM, JUNTA ELÁSTICA, FORNECIDO E INSTALADO EM RAMAL DE ENCAMINHAMENTO. AF_06/2022</v>
          </cell>
          <cell r="E203" t="str">
            <v>UN</v>
          </cell>
          <cell r="F203">
            <v>8</v>
          </cell>
          <cell r="G203" t="str">
            <v>R$ 41,67</v>
          </cell>
          <cell r="H203">
            <v>31.252500000000001</v>
          </cell>
          <cell r="I203">
            <v>250.02</v>
          </cell>
          <cell r="J203">
            <v>306.19949400000002</v>
          </cell>
        </row>
        <row r="204">
          <cell r="B204">
            <v>89524</v>
          </cell>
          <cell r="C204" t="str">
            <v>SINAPI</v>
          </cell>
          <cell r="D204" t="str">
            <v>JOELHO 45 GRAUS, PVC, SERIE R, ÁGUA PLUVIAL, DN 75 MM, JUNTA ELÁSTICA, FORNECIDO E INSTALADO EM RAMAL DE ENCAMINHAMENTO. AF_06/2022</v>
          </cell>
          <cell r="E204" t="str">
            <v>UN</v>
          </cell>
          <cell r="F204">
            <v>4</v>
          </cell>
          <cell r="G204" t="str">
            <v>R$ 33,02</v>
          </cell>
          <cell r="H204">
            <v>24.765000000000001</v>
          </cell>
          <cell r="I204">
            <v>99.06</v>
          </cell>
          <cell r="J204">
            <v>121.318782</v>
          </cell>
        </row>
        <row r="205">
          <cell r="B205">
            <v>95694</v>
          </cell>
          <cell r="C205" t="str">
            <v>SINAPI</v>
          </cell>
          <cell r="D205" t="str">
            <v>CURVA 90 GRAUS, PVC, SERIE R, ÁGUA PLUVIAL, DN 100 MM, JUNTA ELÁSTICA, FORNECIDO E INSTALADO EM RAMAL DE ENCAMINHAMENTO. AF_06/2022</v>
          </cell>
          <cell r="E205" t="str">
            <v>UN</v>
          </cell>
          <cell r="F205">
            <v>13</v>
          </cell>
          <cell r="G205" t="str">
            <v>R$ 58,06</v>
          </cell>
          <cell r="H205">
            <v>43.545000000000002</v>
          </cell>
          <cell r="I205">
            <v>566.08500000000004</v>
          </cell>
          <cell r="J205">
            <v>693.28429949999997</v>
          </cell>
        </row>
        <row r="206">
          <cell r="B206">
            <v>89522</v>
          </cell>
          <cell r="C206" t="str">
            <v>SINAPI</v>
          </cell>
          <cell r="D206" t="str">
            <v>JOELHO 90 GRAUS, PVC, SERIE R, ÁGUA PLUVIAL, DN 75 MM, JUNTA ELÁSTICA, FORNECIDO E INSTALADO EM RAMAL DE ENCAMINHAMENTO. AF_06/2022</v>
          </cell>
          <cell r="E206" t="str">
            <v>UN</v>
          </cell>
          <cell r="F206">
            <v>1</v>
          </cell>
          <cell r="G206" t="str">
            <v>R$ 32,52</v>
          </cell>
          <cell r="H206">
            <v>24.39</v>
          </cell>
          <cell r="I206">
            <v>24.39</v>
          </cell>
          <cell r="J206">
            <v>29.870432999999998</v>
          </cell>
        </row>
        <row r="207">
          <cell r="B207">
            <v>89569</v>
          </cell>
          <cell r="C207" t="str">
            <v>SINAPI</v>
          </cell>
          <cell r="D207" t="str">
            <v>JUNÇÃO SIMPLES, PVC, SERIE R, ÁGUA PLUVIAL, DN 100 X 75 MM, JUNTA ELÁSTICA, FORNECIDO E INSTALADO EM RAMAL DE ENCAMINHAMENTO. AF_06/2022</v>
          </cell>
          <cell r="E207" t="str">
            <v>UN</v>
          </cell>
          <cell r="F207">
            <v>4</v>
          </cell>
          <cell r="G207" t="str">
            <v>R$ 100,67</v>
          </cell>
          <cell r="H207">
            <v>75.502499999999998</v>
          </cell>
          <cell r="I207">
            <v>302.01</v>
          </cell>
          <cell r="J207">
            <v>369.87164699999994</v>
          </cell>
        </row>
        <row r="208">
          <cell r="B208">
            <v>89798</v>
          </cell>
          <cell r="C208" t="str">
            <v>SINAPI</v>
          </cell>
          <cell r="D208" t="str">
            <v>TUBO PVC, SERIE NORMAL, ESGOTO PREDIAL, DN 50 MM, FORNECIDO E INSTALADO EM PRUMADA DE ESGOTO SANITÁRIO OU VENTILAÇÃO. AF_08/2022</v>
          </cell>
          <cell r="E208" t="str">
            <v>M</v>
          </cell>
          <cell r="F208">
            <v>60.95</v>
          </cell>
          <cell r="G208" t="str">
            <v>R$ 15,32</v>
          </cell>
          <cell r="H208">
            <v>11.49</v>
          </cell>
          <cell r="I208">
            <v>700.31550000000004</v>
          </cell>
          <cell r="J208">
            <v>857.67639284999996</v>
          </cell>
        </row>
        <row r="209">
          <cell r="B209">
            <v>89801</v>
          </cell>
          <cell r="C209" t="str">
            <v>SINAPI</v>
          </cell>
          <cell r="D209" t="str">
            <v>JOELHO 90 GRAUS, PVC, SERIE NORMAL, ESGOTO PREDIAL, DN 50 MM, JUNTA ELÁSTICA, FORNECIDO E INSTALADO EM PRUMADA DE ESGOTO SANITÁRIO OU VENTILAÇÃO. AF_08/2022</v>
          </cell>
          <cell r="E209" t="str">
            <v>UN</v>
          </cell>
          <cell r="F209">
            <v>13</v>
          </cell>
          <cell r="G209" t="str">
            <v>R$ 10,55</v>
          </cell>
          <cell r="H209">
            <v>7.9125000000000005</v>
          </cell>
          <cell r="I209">
            <v>102.86250000000001</v>
          </cell>
          <cell r="J209">
            <v>125.97570375000001</v>
          </cell>
        </row>
        <row r="210">
          <cell r="B210">
            <v>89802</v>
          </cell>
          <cell r="C210" t="str">
            <v>SINAPI</v>
          </cell>
          <cell r="D210" t="str">
            <v>JOELHO 45 GRAUS, PVC, SERIE NORMAL, ESGOTO PREDIAL, DN 50 MM, JUNTA ELÁSTICA, FORNECIDO E INSTALADO EM PRUMADA DE ESGOTO SANITÁRIO OU VENTILAÇÃO. AF_08/2022</v>
          </cell>
          <cell r="E210" t="str">
            <v>UN</v>
          </cell>
          <cell r="F210">
            <v>12</v>
          </cell>
          <cell r="G210" t="str">
            <v>R$ 11,34</v>
          </cell>
          <cell r="H210">
            <v>8.504999999999999</v>
          </cell>
          <cell r="I210">
            <v>102.05999999999999</v>
          </cell>
          <cell r="J210">
            <v>124.99288199999998</v>
          </cell>
        </row>
        <row r="211">
          <cell r="B211">
            <v>89827</v>
          </cell>
          <cell r="C211" t="str">
            <v>SINAPI</v>
          </cell>
          <cell r="D211" t="str">
            <v>JUNÇÃO SIMPLES, PVC, SERIE NORMAL, ESGOTO PREDIAL, DN 50 X 50 MM, JUNTA ELÁSTICA, FORNECIDO E INSTALADO EM PRUMADA DE ESGOTO SANITÁRIO OU VENTILAÇÃO. AF_08/2022</v>
          </cell>
          <cell r="E211" t="str">
            <v>UN</v>
          </cell>
          <cell r="F211">
            <v>5</v>
          </cell>
          <cell r="G211" t="str">
            <v>R$ 21,17</v>
          </cell>
          <cell r="H211">
            <v>15.877500000000001</v>
          </cell>
          <cell r="I211">
            <v>79.387500000000003</v>
          </cell>
          <cell r="J211">
            <v>97.225871249999997</v>
          </cell>
        </row>
        <row r="212">
          <cell r="B212">
            <v>104350</v>
          </cell>
          <cell r="C212" t="str">
            <v>SINAPI</v>
          </cell>
          <cell r="D212" t="str">
            <v>JUNÇÃO DE REDUÇÃO INVERTIDA, PVC, SÉRIE NORMAL, ESGOTO PREDIAL, DN 75 X 50 MM, JUNTA ELÁSTICA, FORNECIDO E INSTALADO EM PRUMADA DE ESGOTO SANITÁRIO OU VENTILAÇÃO. AF_08/2022</v>
          </cell>
          <cell r="E212" t="str">
            <v>UN</v>
          </cell>
          <cell r="F212">
            <v>1</v>
          </cell>
          <cell r="G212" t="str">
            <v>R$ 33,34</v>
          </cell>
          <cell r="H212">
            <v>25.005000000000003</v>
          </cell>
          <cell r="I212">
            <v>25.005000000000003</v>
          </cell>
          <cell r="J212">
            <v>30.623623500000001</v>
          </cell>
        </row>
        <row r="213">
          <cell r="B213">
            <v>104348</v>
          </cell>
          <cell r="C213" t="str">
            <v>SINAPI</v>
          </cell>
          <cell r="D213" t="str">
            <v>TERMINAL DE VENTILAÇÃO, PVC, SÉRIE NORMAL, ESGOTO PREDIAL, DN 50 MM, JUNTA SOLDÁVEL, FORNECIDO E INSTALADO EM PRUMADA DE ESGOTO SANITÁRIO OU VENTILAÇÃO. AF_08/2022</v>
          </cell>
          <cell r="E213" t="str">
            <v>UN</v>
          </cell>
          <cell r="F213">
            <v>10</v>
          </cell>
          <cell r="G213" t="str">
            <v>R$ 12,11</v>
          </cell>
          <cell r="H213">
            <v>9.0824999999999996</v>
          </cell>
          <cell r="I213">
            <v>90.824999999999989</v>
          </cell>
          <cell r="J213">
            <v>111.23337749999997</v>
          </cell>
        </row>
        <row r="214">
          <cell r="B214">
            <v>89825</v>
          </cell>
          <cell r="C214" t="str">
            <v>SINAPI</v>
          </cell>
          <cell r="D214" t="str">
            <v>TE, PVC, SERIE NORMAL, ESGOTO PREDIAL, DN 50 X 50 MM, JUNTA ELÁSTICA, FORNECIDO E INSTALADO EM PRUMADA DE ESGOTO SANITÁRIO OU VENTILAÇÃO. AF_08/2022</v>
          </cell>
          <cell r="E214" t="str">
            <v>UN</v>
          </cell>
          <cell r="F214">
            <v>6</v>
          </cell>
          <cell r="G214" t="str">
            <v>R$ 18,61</v>
          </cell>
          <cell r="H214">
            <v>13.9575</v>
          </cell>
          <cell r="I214">
            <v>83.745000000000005</v>
          </cell>
          <cell r="J214">
            <v>102.5625015</v>
          </cell>
        </row>
        <row r="215">
          <cell r="B215" t="str">
            <v>15.003.0178-0</v>
          </cell>
          <cell r="C215" t="str">
            <v>EMOP</v>
          </cell>
          <cell r="D215" t="str">
            <v>RALO DE COBERTURA SEMI-ESFERICO(TIPO ABACAXI),COM 4".FORNECIMENTO E COLOCACAO</v>
          </cell>
          <cell r="E215" t="str">
            <v>UN</v>
          </cell>
          <cell r="F215">
            <v>4</v>
          </cell>
          <cell r="G215" t="str">
            <v>R$ 40,93</v>
          </cell>
          <cell r="H215">
            <v>30.697499999999998</v>
          </cell>
          <cell r="I215">
            <v>122.78999999999999</v>
          </cell>
          <cell r="J215">
            <v>150.38091299999996</v>
          </cell>
        </row>
        <row r="216">
          <cell r="B216">
            <v>97953</v>
          </cell>
          <cell r="C216" t="str">
            <v>SINAPI</v>
          </cell>
          <cell r="D216" t="str">
            <v>CAIXA COM GRELHA SIMPLES RETANGULAR, EM ALVENARIA COM BLOCOS DE CONCRETO, DIMENSÕES INTERNAS: 0,5X1X1 M. AF_12/2020</v>
          </cell>
          <cell r="E216" t="str">
            <v>UN</v>
          </cell>
          <cell r="F216">
            <v>5</v>
          </cell>
          <cell r="G216" t="str">
            <v>R$ 1.635,67</v>
          </cell>
          <cell r="H216">
            <v>1226.7525000000001</v>
          </cell>
          <cell r="I216">
            <v>6133.7625000000007</v>
          </cell>
          <cell r="J216">
            <v>7512.0189337500005</v>
          </cell>
        </row>
        <row r="217">
          <cell r="B217">
            <v>103979</v>
          </cell>
          <cell r="C217" t="str">
            <v>SINAPI</v>
          </cell>
          <cell r="D217" t="str">
            <v>TUBO, PVC, SOLDÁVEL, DN 50MM, INSTALADO EM RAMAL DE DISTRIBUIÇÃO DE ÁGUA - FORNECIMENTO E INSTALAÇÃO. AF_06/2022</v>
          </cell>
          <cell r="E217" t="str">
            <v>M</v>
          </cell>
          <cell r="F217">
            <v>43.7</v>
          </cell>
          <cell r="G217" t="str">
            <v>R$ 37,13</v>
          </cell>
          <cell r="H217">
            <v>27.847500000000004</v>
          </cell>
          <cell r="I217">
            <v>1216.9357500000003</v>
          </cell>
          <cell r="J217">
            <v>1490.3812130250003</v>
          </cell>
        </row>
        <row r="218">
          <cell r="B218">
            <v>89357</v>
          </cell>
          <cell r="C218" t="str">
            <v>SINAPI</v>
          </cell>
          <cell r="D218" t="str">
            <v>TUBO, PVC, SOLDÁVEL, DN 32MM, INSTALADO EM RAMAL OU SUB-RAMAL DE ÁGUA - FORNECIMENTO E INSTALAÇÃO. AF_06/2022</v>
          </cell>
          <cell r="E218" t="str">
            <v>M</v>
          </cell>
          <cell r="F218">
            <v>40.479999999999997</v>
          </cell>
          <cell r="G218" t="str">
            <v>R$ 42,71</v>
          </cell>
          <cell r="H218">
            <v>32.032499999999999</v>
          </cell>
          <cell r="I218">
            <v>1296.6755999999998</v>
          </cell>
          <cell r="J218">
            <v>1588.0386073199995</v>
          </cell>
        </row>
        <row r="219">
          <cell r="B219">
            <v>89356</v>
          </cell>
          <cell r="C219" t="str">
            <v>SINAPI</v>
          </cell>
          <cell r="D219" t="str">
            <v>TUBO, PVC, SOLDÁVEL, DN 25MM, INSTALADO EM RAMAL OU SUB-RAMAL DE ÁGUA - FORNECIMENTO E INSTALAÇÃO. AF_06/2022</v>
          </cell>
          <cell r="E219" t="str">
            <v>M</v>
          </cell>
          <cell r="F219">
            <v>77.510000000000005</v>
          </cell>
          <cell r="G219" t="str">
            <v>R$ 31,85</v>
          </cell>
          <cell r="H219">
            <v>23.887500000000003</v>
          </cell>
          <cell r="I219">
            <v>1851.5201250000002</v>
          </cell>
          <cell r="J219">
            <v>2267.5566970875002</v>
          </cell>
        </row>
        <row r="220">
          <cell r="B220">
            <v>90371</v>
          </cell>
          <cell r="C220" t="str">
            <v>SINAPI</v>
          </cell>
          <cell r="D220" t="str">
            <v>REGISTRO DE ESFERA, PVC, ROSCÁVEL, COM VOLANTE, 3/4" - FORNECIMENTO E INSTALAÇÃO. AF_08/2021</v>
          </cell>
          <cell r="E220" t="str">
            <v>UN</v>
          </cell>
          <cell r="F220">
            <v>2</v>
          </cell>
          <cell r="G220" t="str">
            <v>R$ 40,07</v>
          </cell>
          <cell r="H220">
            <v>30.052500000000002</v>
          </cell>
          <cell r="I220">
            <v>60.105000000000004</v>
          </cell>
          <cell r="J220">
            <v>73.610593499999993</v>
          </cell>
        </row>
        <row r="221">
          <cell r="B221">
            <v>94490</v>
          </cell>
          <cell r="C221" t="str">
            <v>SINAPI</v>
          </cell>
          <cell r="D221" t="str">
            <v>REGISTRO DE ESFERA, PVC, SOLDÁVEL, COM VOLANTE, DN  32 MM - FORNECIMENTO E INSTALAÇÃO. AF_08/2021</v>
          </cell>
          <cell r="E221" t="str">
            <v>UN</v>
          </cell>
          <cell r="F221">
            <v>8</v>
          </cell>
          <cell r="G221" t="str">
            <v>R$ 59,03</v>
          </cell>
          <cell r="H221">
            <v>44.272500000000001</v>
          </cell>
          <cell r="I221">
            <v>354.18</v>
          </cell>
          <cell r="J221">
            <v>433.76424599999996</v>
          </cell>
        </row>
        <row r="222">
          <cell r="B222">
            <v>94492</v>
          </cell>
          <cell r="C222" t="str">
            <v>SINAPI</v>
          </cell>
          <cell r="D222" t="str">
            <v>REGISTRO DE ESFERA, PVC, SOLDÁVEL, COM VOLANTE, DN  50 MM - FORNECIMENTO E INSTALAÇÃO. AF_08/2021</v>
          </cell>
          <cell r="E222" t="str">
            <v>UN</v>
          </cell>
          <cell r="F222">
            <v>5</v>
          </cell>
          <cell r="G222" t="str">
            <v>R$ 82,56</v>
          </cell>
          <cell r="H222">
            <v>61.92</v>
          </cell>
          <cell r="I222">
            <v>309.60000000000002</v>
          </cell>
          <cell r="J222">
            <v>379.16712000000001</v>
          </cell>
        </row>
        <row r="223">
          <cell r="B223">
            <v>89987</v>
          </cell>
          <cell r="C223" t="str">
            <v>SINAPI</v>
          </cell>
          <cell r="D223" t="str">
            <v>REGISTRO DE GAVETA BRUTO, LATÃO, ROSCÁVEL, 3/4", COM ACABAMENTO E CANOPLA CROMADOS - FORNECIMENTO E INSTALAÇÃO. AF_08/2021</v>
          </cell>
          <cell r="E223" t="str">
            <v>UN</v>
          </cell>
          <cell r="F223">
            <v>10</v>
          </cell>
          <cell r="G223" t="str">
            <v>R$ 74,67</v>
          </cell>
          <cell r="H223">
            <v>56.002499999999998</v>
          </cell>
          <cell r="I223">
            <v>560.02499999999998</v>
          </cell>
          <cell r="J223">
            <v>685.86261749999994</v>
          </cell>
        </row>
        <row r="224">
          <cell r="B224">
            <v>89368</v>
          </cell>
          <cell r="C224" t="str">
            <v>SINAPI</v>
          </cell>
          <cell r="D224" t="str">
            <v>JOELHO 45 GRAUS, PVC, SOLDÁVEL, DN 32MM, INSTALADO EM RAMAL OU SUB-RAMAL DE ÁGUA - FORNECIMENTO E INSTALAÇÃO. AF_06/2022</v>
          </cell>
          <cell r="E224" t="str">
            <v>UN</v>
          </cell>
          <cell r="F224">
            <v>14</v>
          </cell>
          <cell r="G224" t="str">
            <v>R$ 19,01</v>
          </cell>
          <cell r="H224">
            <v>14.2575</v>
          </cell>
          <cell r="I224">
            <v>199.60500000000002</v>
          </cell>
          <cell r="J224">
            <v>244.4562435</v>
          </cell>
        </row>
        <row r="225">
          <cell r="B225">
            <v>104320</v>
          </cell>
          <cell r="C225" t="str">
            <v>SINAPI</v>
          </cell>
          <cell r="D225" t="str">
            <v>JOELHO 45 GRAUS, PVC, SOLDÁVEL, DN 32 MM, INSTALADO EM DRENO DE AR CONDICIONADO - FORNECIMENTO E INSTALAÇÃO. AF_08/2022</v>
          </cell>
          <cell r="E225" t="str">
            <v>UN</v>
          </cell>
          <cell r="F225">
            <v>11</v>
          </cell>
          <cell r="G225" t="str">
            <v>R$ 14,50</v>
          </cell>
          <cell r="H225">
            <v>10.875</v>
          </cell>
          <cell r="I225">
            <v>119.625</v>
          </cell>
          <cell r="J225">
            <v>146.50473749999998</v>
          </cell>
        </row>
        <row r="226">
          <cell r="B226">
            <v>103984</v>
          </cell>
          <cell r="C226" t="str">
            <v>SINAPI</v>
          </cell>
          <cell r="D226" t="str">
            <v>JOELHO 90 GRAUS, PVC, SOLDÁVEL, DN 50MM, INSTALADO EM RAMAL DE DISTRIBUIÇÃO DE ÁGUA - FORNECIMENTO E INSTALAÇÃO. AF_06/2022</v>
          </cell>
          <cell r="E226" t="str">
            <v>UN</v>
          </cell>
          <cell r="F226">
            <v>7</v>
          </cell>
          <cell r="G226" t="str">
            <v>R$ 24,73</v>
          </cell>
          <cell r="H226">
            <v>18.547499999999999</v>
          </cell>
          <cell r="I226">
            <v>129.83249999999998</v>
          </cell>
          <cell r="J226">
            <v>159.00586274999998</v>
          </cell>
        </row>
        <row r="227">
          <cell r="B227">
            <v>89367</v>
          </cell>
          <cell r="C227" t="str">
            <v>SINAPI</v>
          </cell>
          <cell r="D227" t="str">
            <v>JOELHO 90 GRAUS, PVC, SOLDÁVEL, DN 32MM, INSTALADO EM RAMAL OU SUB-RAMAL DE ÁGUA - FORNECIMENTO E INSTALAÇÃO. AF_06/2022</v>
          </cell>
          <cell r="E227" t="str">
            <v>UN</v>
          </cell>
          <cell r="F227">
            <v>20</v>
          </cell>
          <cell r="G227" t="str">
            <v>R$ 17,08</v>
          </cell>
          <cell r="H227">
            <v>12.809999999999999</v>
          </cell>
          <cell r="I227">
            <v>256.2</v>
          </cell>
          <cell r="J227">
            <v>313.76813999999996</v>
          </cell>
        </row>
        <row r="228">
          <cell r="B228">
            <v>104319</v>
          </cell>
          <cell r="C228" t="str">
            <v>SINAPI</v>
          </cell>
          <cell r="D228" t="str">
            <v>JOELHO 90 GRAUS, PVC, SOLDÁVEL, DN 32 MM, INSTALADO EM DRENO DE AR CONDICIONADO - FORNECIMENTO E INSTALAÇÃO. AF_08/2022</v>
          </cell>
          <cell r="E228" t="str">
            <v>UN</v>
          </cell>
          <cell r="F228">
            <v>12</v>
          </cell>
          <cell r="G228" t="str">
            <v>R$ 12,57</v>
          </cell>
          <cell r="H228">
            <v>9.4275000000000002</v>
          </cell>
          <cell r="I228">
            <v>113.13</v>
          </cell>
          <cell r="J228">
            <v>138.55031099999999</v>
          </cell>
        </row>
        <row r="229">
          <cell r="B229">
            <v>89369</v>
          </cell>
          <cell r="C229" t="str">
            <v>SINAPI</v>
          </cell>
          <cell r="D229" t="str">
            <v>CURVA 90 GRAUS, PVC, SOLDÁVEL, DN 32MM, INSTALADO EM RAMAL OU SUB-RAMAL DE ÁGUA - FORNECIMENTO E INSTALAÇÃO. AF_06/2022</v>
          </cell>
          <cell r="E229" t="str">
            <v>UN</v>
          </cell>
          <cell r="F229">
            <v>3</v>
          </cell>
          <cell r="G229" t="str">
            <v>R$ 21,61</v>
          </cell>
          <cell r="H229">
            <v>16.2075</v>
          </cell>
          <cell r="I229">
            <v>48.622500000000002</v>
          </cell>
          <cell r="J229">
            <v>59.547975749999999</v>
          </cell>
        </row>
        <row r="230">
          <cell r="B230">
            <v>89362</v>
          </cell>
          <cell r="C230" t="str">
            <v>SINAPI</v>
          </cell>
          <cell r="D230" t="str">
            <v>JOELHO 90 GRAUS, PVC, SOLDÁVEL, DN 25MM, INSTALADO EM RAMAL OU SUB-RAMAL DE ÁGUA - FORNECIMENTO E INSTALAÇÃO. AF_06/2022</v>
          </cell>
          <cell r="E230" t="str">
            <v>UN</v>
          </cell>
          <cell r="F230">
            <v>47</v>
          </cell>
          <cell r="G230" t="str">
            <v>R$ 12,70</v>
          </cell>
          <cell r="H230">
            <v>9.5249999999999986</v>
          </cell>
          <cell r="I230">
            <v>447.67499999999995</v>
          </cell>
          <cell r="J230">
            <v>548.26757249999991</v>
          </cell>
        </row>
        <row r="231">
          <cell r="B231">
            <v>89363</v>
          </cell>
          <cell r="C231" t="str">
            <v>SINAPI</v>
          </cell>
          <cell r="D231" t="str">
            <v>JOELHO 45 GRAUS, PVC, SOLDÁVEL, DN 25MM, INSTALADO EM RAMAL OU SUB-RAMAL DE ÁGUA - FORNECIMENTO E INSTALAÇÃO. AF_06/2022</v>
          </cell>
          <cell r="E231" t="str">
            <v>UN</v>
          </cell>
          <cell r="F231">
            <v>1</v>
          </cell>
          <cell r="G231" t="str">
            <v>R$ 13,57</v>
          </cell>
          <cell r="H231">
            <v>10.1775</v>
          </cell>
          <cell r="I231">
            <v>10.1775</v>
          </cell>
          <cell r="J231">
            <v>12.464384249999998</v>
          </cell>
        </row>
        <row r="232">
          <cell r="B232">
            <v>103995</v>
          </cell>
          <cell r="C232" t="str">
            <v>SINAPI</v>
          </cell>
          <cell r="D232" t="str">
            <v>LUVA, PVC, SOLDÁVEL, DN 50MM, INSTALADO EM RAMAL DE DISTRIBUIÇÃO DE ÁGUA - FORNECIMENTO E INSTALAÇÃO. AF_06/2022</v>
          </cell>
          <cell r="E232" t="str">
            <v>UN</v>
          </cell>
          <cell r="F232">
            <v>3</v>
          </cell>
          <cell r="G232" t="str">
            <v>R$ 18,63</v>
          </cell>
          <cell r="H232">
            <v>13.9725</v>
          </cell>
          <cell r="I232">
            <v>41.917500000000004</v>
          </cell>
          <cell r="J232">
            <v>51.336362250000001</v>
          </cell>
        </row>
        <row r="233">
          <cell r="B233">
            <v>103996</v>
          </cell>
          <cell r="C233" t="str">
            <v>SINAPI</v>
          </cell>
          <cell r="D233" t="str">
            <v>LUVA DE CORRER, PVC, SOLDÁVEL, DN 50MM, INSTALADO EM RAMAL DE DISTRIBUIÇÃO DE ÁGUA - FORNECIMENTO E INSTALAÇÃO. AF_06/2022</v>
          </cell>
          <cell r="E233" t="str">
            <v>UN</v>
          </cell>
          <cell r="F233">
            <v>1</v>
          </cell>
          <cell r="G233" t="str">
            <v>R$ 45,84</v>
          </cell>
          <cell r="H233">
            <v>34.380000000000003</v>
          </cell>
          <cell r="I233">
            <v>34.380000000000003</v>
          </cell>
          <cell r="J233">
            <v>42.105185999999996</v>
          </cell>
        </row>
        <row r="234">
          <cell r="B234">
            <v>89386</v>
          </cell>
          <cell r="C234" t="str">
            <v>SINAPI</v>
          </cell>
          <cell r="D234" t="str">
            <v>LUVA, PVC, SOLDÁVEL, DN 32MM, INSTALADO EM RAMAL OU SUB-RAMAL DE ÁGUA - FORNECIMENTO E INSTALAÇÃO. AF_06/2022</v>
          </cell>
          <cell r="E234" t="str">
            <v>UN</v>
          </cell>
          <cell r="F234">
            <v>5</v>
          </cell>
          <cell r="G234" t="str">
            <v>R$ 12,35</v>
          </cell>
          <cell r="H234">
            <v>9.2624999999999993</v>
          </cell>
          <cell r="I234">
            <v>46.3125</v>
          </cell>
          <cell r="J234">
            <v>56.718918749999993</v>
          </cell>
        </row>
        <row r="235">
          <cell r="B235">
            <v>89378</v>
          </cell>
          <cell r="C235" t="str">
            <v>SINAPI</v>
          </cell>
          <cell r="D235" t="str">
            <v>LUVA, PVC, SOLDÁVEL, DN 25MM, INSTALADO EM RAMAL OU SUB-RAMAL DE ÁGUA - FORNECIMENTO E INSTALAÇÃO. AF_06/2022</v>
          </cell>
          <cell r="E235" t="str">
            <v>UN</v>
          </cell>
          <cell r="F235">
            <v>12</v>
          </cell>
          <cell r="G235" t="str">
            <v>R$ 9,23</v>
          </cell>
          <cell r="H235">
            <v>6.9225000000000003</v>
          </cell>
          <cell r="I235">
            <v>83.070000000000007</v>
          </cell>
          <cell r="J235">
            <v>101.735829</v>
          </cell>
        </row>
        <row r="236">
          <cell r="B236">
            <v>97468</v>
          </cell>
          <cell r="C236" t="str">
            <v>SINAPI</v>
          </cell>
          <cell r="D236" t="str">
            <v>LUVA COM REDUÇÃO, EM AÇO, CONEXÃO SOLDADA, DN 40  X 32 MM (1 1/2" X 1 1/4"), INSTALADO EM REDE DE ALIMENTAÇÃO PARA HIDRANTE - FORNECIMENTO E INSTALAÇÃO. AF_10/2020</v>
          </cell>
          <cell r="E236" t="str">
            <v>UN</v>
          </cell>
          <cell r="F236">
            <v>1</v>
          </cell>
          <cell r="G236" t="str">
            <v>R$ 86,22</v>
          </cell>
          <cell r="H236">
            <v>64.664999999999992</v>
          </cell>
          <cell r="I236">
            <v>64.664999999999992</v>
          </cell>
          <cell r="J236">
            <v>79.195225499999978</v>
          </cell>
        </row>
        <row r="237">
          <cell r="B237">
            <v>104004</v>
          </cell>
          <cell r="C237" t="str">
            <v>SINAPI</v>
          </cell>
          <cell r="D237" t="str">
            <v>TE, PVC, SOLDÁVEL, DN 50MM, INSTALADO EM RAMAL DE DISTRIBUIÇÃO DE ÁGUA - FORNECIMENTO E INSTALAÇÃO. AF_06/2022</v>
          </cell>
          <cell r="E237" t="str">
            <v>UN</v>
          </cell>
          <cell r="F237">
            <v>6</v>
          </cell>
          <cell r="G237" t="str">
            <v>R$ 36,82</v>
          </cell>
          <cell r="H237">
            <v>27.615000000000002</v>
          </cell>
          <cell r="I237">
            <v>165.69</v>
          </cell>
          <cell r="J237">
            <v>202.92054299999998</v>
          </cell>
        </row>
        <row r="238">
          <cell r="B238">
            <v>89398</v>
          </cell>
          <cell r="C238" t="str">
            <v>SINAPI</v>
          </cell>
          <cell r="D238" t="str">
            <v>TE, PVC, SOLDÁVEL, DN 32MM, INSTALADO EM RAMAL OU SUB-RAMAL DE ÁGUA - FORNECIMENTO E INSTALAÇÃO. AF_06/2022</v>
          </cell>
          <cell r="E238" t="str">
            <v>UN</v>
          </cell>
          <cell r="F238">
            <v>6</v>
          </cell>
          <cell r="G238" t="str">
            <v>R$ 23,64</v>
          </cell>
          <cell r="H238">
            <v>17.73</v>
          </cell>
          <cell r="I238">
            <v>106.38</v>
          </cell>
          <cell r="J238">
            <v>130.28358599999999</v>
          </cell>
        </row>
        <row r="239">
          <cell r="B239">
            <v>104324</v>
          </cell>
          <cell r="C239" t="str">
            <v>SINAPI</v>
          </cell>
          <cell r="D239" t="str">
            <v>TE, PVC, SOLDÁVEL, DN 32 MM, INSTALADO EM DRENO DE AR CONDICIONADO - FORNECIMENTO E INSTALAÇÃO. AF_08/2022</v>
          </cell>
          <cell r="E239" t="str">
            <v>UN</v>
          </cell>
          <cell r="F239">
            <v>4</v>
          </cell>
          <cell r="G239" t="str">
            <v>R$ 17,62</v>
          </cell>
          <cell r="H239">
            <v>13.215</v>
          </cell>
          <cell r="I239">
            <v>52.86</v>
          </cell>
          <cell r="J239">
            <v>64.737641999999994</v>
          </cell>
        </row>
        <row r="240">
          <cell r="B240">
            <v>89440</v>
          </cell>
          <cell r="C240" t="str">
            <v>SINAPI</v>
          </cell>
          <cell r="D240" t="str">
            <v>TE, PVC, SOLDÁVEL, DN 25MM, INSTALADO EM RAMAL DE DISTRIBUIÇÃO DE ÁGUA - FORNECIMENTO E INSTALAÇÃO. AF_06/2022</v>
          </cell>
          <cell r="E240" t="str">
            <v>UN</v>
          </cell>
          <cell r="F240">
            <v>14</v>
          </cell>
          <cell r="G240" t="str">
            <v>R$ 15,87</v>
          </cell>
          <cell r="H240">
            <v>11.9025</v>
          </cell>
          <cell r="I240">
            <v>166.63499999999999</v>
          </cell>
          <cell r="J240">
            <v>204.07788449999998</v>
          </cell>
        </row>
        <row r="241">
          <cell r="B241">
            <v>104006</v>
          </cell>
          <cell r="C241" t="str">
            <v>SINAPI</v>
          </cell>
          <cell r="D241" t="str">
            <v>TÊ DE REDUÇÃO, PVC, SOLDÁVEL, DN 50MM X 25MM, INSTALADO EM RAMAL DE DISTRIBUIÇÃO DE ÁGUA - FORNECIMENTO E INSTALAÇÃO. AF_06/2022</v>
          </cell>
          <cell r="E241" t="str">
            <v>UN</v>
          </cell>
          <cell r="F241">
            <v>6</v>
          </cell>
          <cell r="G241" t="str">
            <v>R$ 30,82</v>
          </cell>
          <cell r="H241">
            <v>23.115000000000002</v>
          </cell>
          <cell r="I241">
            <v>138.69</v>
          </cell>
          <cell r="J241">
            <v>169.85364299999998</v>
          </cell>
        </row>
        <row r="242">
          <cell r="B242">
            <v>103999</v>
          </cell>
          <cell r="C242" t="str">
            <v>SINAPI</v>
          </cell>
          <cell r="D242" t="str">
            <v>BUCHA DE REDUÇÃO, LONGA, PVC, SOLDÁVEL, DN 50 X 25 MM, INSTALADO EM RAMAL DE DISTRIBUIÇÃO DE ÁGUA - FORNECIMENTO E INSTALAÇÃO. AF_06/2022</v>
          </cell>
          <cell r="E242" t="str">
            <v>UN</v>
          </cell>
          <cell r="F242">
            <v>2</v>
          </cell>
          <cell r="G242" t="str">
            <v>R$ 15,41</v>
          </cell>
          <cell r="H242">
            <v>11.557500000000001</v>
          </cell>
          <cell r="I242">
            <v>23.115000000000002</v>
          </cell>
          <cell r="J242">
            <v>28.308940499999999</v>
          </cell>
        </row>
        <row r="243">
          <cell r="B243">
            <v>104003</v>
          </cell>
          <cell r="C243" t="str">
            <v>SINAPI</v>
          </cell>
          <cell r="D243" t="str">
            <v>BUCHA DE REDUÇÃO , LONGA, PVC, SOLDÁVEL, DN 50 X 32 MM, INSTALADO EM RAMAL DE DISTRIBUIÇÃO DE ÁGUA - FORNECIMENTO E INSTALAÇÃO. AF_06/2022</v>
          </cell>
          <cell r="E243" t="str">
            <v>UN</v>
          </cell>
          <cell r="F243">
            <v>1</v>
          </cell>
          <cell r="G243" t="str">
            <v>R$ 17,88</v>
          </cell>
          <cell r="H243">
            <v>13.41</v>
          </cell>
          <cell r="I243">
            <v>13.41</v>
          </cell>
          <cell r="J243">
            <v>16.423226999999997</v>
          </cell>
        </row>
        <row r="244">
          <cell r="B244">
            <v>89426</v>
          </cell>
          <cell r="C244" t="str">
            <v>SINAPI</v>
          </cell>
          <cell r="D244" t="str">
            <v>LUVA DE REDUÇÃO, PVC, SOLDÁVEL, DN 32MM X 25MM, INSTALADO EM RAMAL DE DISTRIBUIÇÃO DE ÁGUA - FORNECIMENTO E INSTALAÇÃO. AF_06/2022</v>
          </cell>
          <cell r="E244" t="str">
            <v>UN</v>
          </cell>
          <cell r="F244">
            <v>2</v>
          </cell>
          <cell r="G244" t="str">
            <v>R$ 11,84</v>
          </cell>
          <cell r="H244">
            <v>8.879999999999999</v>
          </cell>
          <cell r="I244">
            <v>17.759999999999998</v>
          </cell>
          <cell r="J244">
            <v>21.750671999999994</v>
          </cell>
        </row>
        <row r="245">
          <cell r="B245">
            <v>94706</v>
          </cell>
          <cell r="C245" t="str">
            <v>SINAPI</v>
          </cell>
          <cell r="D245" t="str">
            <v>ADAPTADOR COM FLANGE E ANEL DE VEDAÇÃO, PVC, SOLDÁVEL, DN 50 MM X 1 1/2 , INSTALADO EM RESERVAÇÃO DE ÁGUA DE EDIFICAÇÃO QUE POSSUA RESERVATÓRIO DE FIBRA/FIBROCIMENTO   FORNECIMENTO E INSTALAÇÃO. AF_06/2016</v>
          </cell>
          <cell r="E245" t="str">
            <v>UN</v>
          </cell>
          <cell r="F245">
            <v>8</v>
          </cell>
          <cell r="G245" t="str">
            <v>R$ 41,29</v>
          </cell>
          <cell r="H245">
            <v>30.967500000000001</v>
          </cell>
          <cell r="I245">
            <v>247.74</v>
          </cell>
          <cell r="J245">
            <v>303.40717799999999</v>
          </cell>
        </row>
        <row r="246">
          <cell r="B246">
            <v>94704</v>
          </cell>
          <cell r="C246" t="str">
            <v>SINAPI</v>
          </cell>
          <cell r="D246" t="str">
            <v>ADAPTADOR COM FLANGE E ANEL DE VEDAÇÃO, PVC, SOLDÁVEL, DN 32 MM X 1 , INSTALADO EM RESERVAÇÃO DE ÁGUA DE EDIFICAÇÃO QUE POSSUA RESERVATÓRIO DE FIBRA/FIBROCIMENTO   FORNECIMENTO E INSTALAÇÃO. AF_06/2016</v>
          </cell>
          <cell r="E246" t="str">
            <v>UN</v>
          </cell>
          <cell r="F246">
            <v>2</v>
          </cell>
          <cell r="G246" t="str">
            <v>R$ 31,27</v>
          </cell>
          <cell r="H246">
            <v>23.452500000000001</v>
          </cell>
          <cell r="I246">
            <v>46.905000000000001</v>
          </cell>
          <cell r="J246">
            <v>57.444553499999998</v>
          </cell>
        </row>
        <row r="247">
          <cell r="B247">
            <v>89383</v>
          </cell>
          <cell r="C247" t="str">
            <v>SINAPI</v>
          </cell>
          <cell r="D247" t="str">
            <v>ADAPTADOR CURTO COM BOLSA E ROSCA PARA REGISTRO, PVC, SOLDÁVEL, DN 25MM X 3/4 , INSTALADO EM RAMAL OU SUB-RAMAL DE ÁGUA - FORNECIMENTO E INSTALAÇÃO. AF_06/2022</v>
          </cell>
          <cell r="E247" t="str">
            <v>UN</v>
          </cell>
          <cell r="F247">
            <v>20</v>
          </cell>
          <cell r="G247" t="str">
            <v>R$ 8,65</v>
          </cell>
          <cell r="H247">
            <v>6.4875000000000007</v>
          </cell>
          <cell r="I247">
            <v>129.75</v>
          </cell>
          <cell r="J247">
            <v>158.90482499999999</v>
          </cell>
        </row>
        <row r="248">
          <cell r="B248">
            <v>103013</v>
          </cell>
          <cell r="C248" t="str">
            <v>SINAPI</v>
          </cell>
          <cell r="D248" t="str">
            <v>VÁLVULA DE RETENÇÃO, DE BRONZE, PÉ COM CRIVOS, ROSCÁVEL, 1 1/2"
- FORNECIMENTO E INSTALAÇÃO. AF_08/2021</v>
          </cell>
          <cell r="E248" t="str">
            <v>UN</v>
          </cell>
          <cell r="F248">
            <v>1</v>
          </cell>
          <cell r="G248" t="str">
            <v>R$ 163,43</v>
          </cell>
          <cell r="H248">
            <v>122.57250000000001</v>
          </cell>
          <cell r="I248">
            <v>122.57250000000001</v>
          </cell>
          <cell r="J248">
            <v>150.11454075</v>
          </cell>
        </row>
        <row r="249">
          <cell r="B249">
            <v>90373</v>
          </cell>
          <cell r="C249" t="str">
            <v>SINAPI</v>
          </cell>
          <cell r="D249" t="str">
            <v>JOELHO 90 GRAUS COM BUCHA DE LATÃO, PVC, SOLDÁVEL, DN 25MM, X 1/2  INSTALADO EM RAMAL OU SUB-RAMAL DE ÁGUA - FORNECIMENTO E INSTALAÇÃO. AF_06/2022</v>
          </cell>
          <cell r="E249" t="str">
            <v>UN</v>
          </cell>
          <cell r="F249">
            <v>24</v>
          </cell>
          <cell r="G249" t="str">
            <v>R$ 16,26</v>
          </cell>
          <cell r="H249">
            <v>12.195</v>
          </cell>
          <cell r="I249">
            <v>292.68</v>
          </cell>
          <cell r="J249">
            <v>358.44519599999995</v>
          </cell>
        </row>
        <row r="250">
          <cell r="B250">
            <v>89396</v>
          </cell>
          <cell r="C250" t="str">
            <v>SINAPI</v>
          </cell>
          <cell r="D250" t="str">
            <v>TÊ COM BUCHA DE LATÃO NA BOLSA CENTRAL, PVC, SOLDÁVEL, DN 25MM X 1/2 , INSTALADO EM RAMAL OU SUB-RAMAL DE ÁGUA - FORNECIMENTO E INSTALAÇÃO. AF_06/2022</v>
          </cell>
          <cell r="E250" t="str">
            <v>UN</v>
          </cell>
          <cell r="F250">
            <v>5</v>
          </cell>
          <cell r="G250" t="str">
            <v>R$ 25,08</v>
          </cell>
          <cell r="H250">
            <v>18.809999999999999</v>
          </cell>
          <cell r="I250">
            <v>94.05</v>
          </cell>
          <cell r="J250">
            <v>115.18303499999999</v>
          </cell>
        </row>
        <row r="251">
          <cell r="B251">
            <v>90374</v>
          </cell>
          <cell r="C251" t="str">
            <v>SINAPI</v>
          </cell>
          <cell r="D251" t="str">
            <v>TÊ COM BUCHA DE LATÃO NA BOLSA CENTRAL, PVC, SOLDÁVEL, DN 25MM X 3/4 , INSTALADO EM RAMAL OU SUB-RAMAL DE ÁGUA - FORNECIMENTO E INSTALAÇÃO. AF_06/2022</v>
          </cell>
          <cell r="E251" t="str">
            <v>UN</v>
          </cell>
          <cell r="F251">
            <v>1</v>
          </cell>
          <cell r="G251" t="str">
            <v>R$ 27,19</v>
          </cell>
          <cell r="H251">
            <v>20.392500000000002</v>
          </cell>
          <cell r="I251">
            <v>20.392500000000002</v>
          </cell>
          <cell r="J251">
            <v>24.974694750000001</v>
          </cell>
        </row>
        <row r="252">
          <cell r="B252" t="str">
            <v>15.002.0630-0</v>
          </cell>
          <cell r="C252" t="str">
            <v>EMOP</v>
          </cell>
          <cell r="D252" t="str">
            <v>FOSSA SEPTICA,DE CAMARA UNICA,TIPO CILINDRICA,DE CONCRETO PRE-MOLDADO,MEDINDO 2000X2000MM.FORNECIMENTO E COLOCACAO</v>
          </cell>
          <cell r="E252" t="str">
            <v>UN</v>
          </cell>
          <cell r="F252">
            <v>1</v>
          </cell>
          <cell r="G252" t="str">
            <v>R$ 8.695,25</v>
          </cell>
          <cell r="H252">
            <v>6521.4375</v>
          </cell>
          <cell r="I252">
            <v>6521.4375</v>
          </cell>
          <cell r="J252">
            <v>7986.8045062499996</v>
          </cell>
        </row>
        <row r="253">
          <cell r="B253" t="str">
            <v>15.002.0664-0</v>
          </cell>
          <cell r="C253" t="str">
            <v>EMOP</v>
          </cell>
          <cell r="D253" t="str">
            <v>FILTRO ANAEROBIO,DE ANEIS DE CONCRETO PRE-MOLDADO,MEDINDO 2000X2000MM.FORNECIMENTO E COLOCACAO</v>
          </cell>
          <cell r="E253" t="str">
            <v>UN</v>
          </cell>
          <cell r="F253">
            <v>1</v>
          </cell>
          <cell r="G253" t="str">
            <v>R$ 8.708,41</v>
          </cell>
          <cell r="H253">
            <v>6531.3074999999999</v>
          </cell>
          <cell r="I253">
            <v>6531.3074999999999</v>
          </cell>
          <cell r="J253">
            <v>7998.8922952499988</v>
          </cell>
        </row>
        <row r="254">
          <cell r="B254">
            <v>104779</v>
          </cell>
          <cell r="C254" t="str">
            <v>SINAPI</v>
          </cell>
          <cell r="D254" t="str">
            <v>RASGO LINEAR MECANIZADO EM ALVENARIA, PARA RAMAIS/ DISTRIBUIÇÃO DE INSTALAÇÕES HIDRÁULICAS, DIÂMETROS MENORES OU IGUAIS A 40 MM. AF_09/2023</v>
          </cell>
          <cell r="E254" t="str">
            <v>M</v>
          </cell>
          <cell r="F254">
            <v>64.900000000000006</v>
          </cell>
          <cell r="G254" t="str">
            <v>R$ 8,80</v>
          </cell>
          <cell r="H254">
            <v>6.6000000000000005</v>
          </cell>
          <cell r="I254">
            <v>428.34000000000009</v>
          </cell>
          <cell r="J254">
            <v>524.58799800000008</v>
          </cell>
        </row>
        <row r="255">
          <cell r="B255">
            <v>90466</v>
          </cell>
          <cell r="C255" t="str">
            <v>SINAPI</v>
          </cell>
          <cell r="D255" t="str">
            <v>CHUMBAMENTO LINEAR EM ALVENARIA PARA RAMAIS/DISTRIBUIÇÃO DE INSTALAÇÕES HIDRÁULICAS COM DIÂMETROS MENORES OU IGUAIS A 40
MM. AF_09/2023</v>
          </cell>
          <cell r="E255" t="str">
            <v>M</v>
          </cell>
          <cell r="F255">
            <v>64.900000000000006</v>
          </cell>
          <cell r="G255" t="str">
            <v>R$ 20,14</v>
          </cell>
          <cell r="H255">
            <v>15.105</v>
          </cell>
          <cell r="I255">
            <v>980.31450000000007</v>
          </cell>
          <cell r="J255">
            <v>1200.5911681499999</v>
          </cell>
        </row>
        <row r="256">
          <cell r="B256">
            <v>91174</v>
          </cell>
          <cell r="C256" t="str">
            <v>SINAPI</v>
          </cell>
          <cell r="D256" t="str">
            <v>FIXAÇÃO DE TUBOS VERTICAIS DE PVC ÁGUA, PVC ESGOTO, PVC ÁGUA PLUVIAL, CPVC, PPR, COBRE OU AÇO, DIÂMETROS MAIORES QUE 40 MM  E MENORES OU IGUAIS A 75 MM, COM ABRAÇADEIRA METÁLICA RÍGIDA TIPO U PERFIL 2 1/2”  , FIXADA EM PERFILADO EM PAREDE. AF_09/2023_PS</v>
          </cell>
          <cell r="E256" t="str">
            <v>M</v>
          </cell>
          <cell r="F256">
            <v>36</v>
          </cell>
          <cell r="G256" t="str">
            <v>R$ 8,70</v>
          </cell>
          <cell r="H256">
            <v>6.5249999999999995</v>
          </cell>
          <cell r="I256">
            <v>234.89999999999998</v>
          </cell>
          <cell r="J256">
            <v>287.68202999999994</v>
          </cell>
        </row>
        <row r="257">
          <cell r="B257">
            <v>91175</v>
          </cell>
          <cell r="C257" t="str">
            <v>SINAPI</v>
          </cell>
          <cell r="D257" t="str">
            <v>FIXAÇÃO DE TUBOS VERTICAIS DE PVC ÁGUA, PVC ESGOTO, PVC ÁGUA PLUVIAL, CPVC, PPR, COBRE OU AÇO, DIÂMETROS MAIORES QUE 75 MM E MENORES OU IGUAIS A 100 MM, COM ABRAÇADEIRA METÁLICA RÍGIDA TIPO U PERFIL 4” , FIXADA EM PERFILADO EM PAREDE. AF_09/2023_PS</v>
          </cell>
          <cell r="E257" t="str">
            <v>M</v>
          </cell>
          <cell r="F257">
            <v>14.4</v>
          </cell>
          <cell r="G257" t="str">
            <v>R$ 13,53</v>
          </cell>
          <cell r="H257">
            <v>10.147499999999999</v>
          </cell>
          <cell r="I257">
            <v>146.124</v>
          </cell>
          <cell r="J257">
            <v>178.95806279999999</v>
          </cell>
        </row>
        <row r="258">
          <cell r="B258">
            <v>97961</v>
          </cell>
          <cell r="C258" t="str">
            <v>SINAPI</v>
          </cell>
          <cell r="D258" t="str">
            <v>CAIXA PARA BOCA DE LOBO COMBINADA COM GRELHA RETANGULAR, EM ALVENARIA COM BLOCOS DE CONCRETO, DIMENSÕES INTERNAS: 1,3X1X1,2 M. AF_12/2020</v>
          </cell>
          <cell r="E258" t="str">
            <v>UN</v>
          </cell>
          <cell r="F258">
            <v>1</v>
          </cell>
          <cell r="G258" t="str">
            <v>R$ 2.800,62</v>
          </cell>
          <cell r="H258">
            <v>2100.4650000000001</v>
          </cell>
          <cell r="I258">
            <v>2100.4650000000001</v>
          </cell>
          <cell r="J258">
            <v>2572.4394855</v>
          </cell>
        </row>
        <row r="259">
          <cell r="D259" t="str">
            <v>INSTALAÇÕES ELÉTRICAS E MECÂNICAS</v>
          </cell>
          <cell r="I259">
            <v>159985.78275000001</v>
          </cell>
          <cell r="J259">
            <v>195934.47713392501</v>
          </cell>
        </row>
        <row r="260">
          <cell r="B260">
            <v>97327</v>
          </cell>
          <cell r="C260" t="str">
            <v>SINAPI</v>
          </cell>
          <cell r="D260" t="str">
            <v>TUBO EM COBRE FLEXÍVEL, DN 1/4” , COM ISOLAMENTO, INSTALADO EM RAMAL DE ALIMENTAÇÃO DE AR CONDICIONADO COM CONDENSADORA INDIVIDUAL   FORNECIMENTO E INSTALAÇÃO. AF_12/2015</v>
          </cell>
          <cell r="E260" t="str">
            <v>M</v>
          </cell>
          <cell r="F260">
            <v>120</v>
          </cell>
          <cell r="G260" t="str">
            <v>R$ 29,20</v>
          </cell>
          <cell r="H260">
            <v>21.9</v>
          </cell>
          <cell r="I260">
            <v>2628</v>
          </cell>
          <cell r="J260">
            <v>3218.5115999999998</v>
          </cell>
        </row>
        <row r="261">
          <cell r="B261">
            <v>97328</v>
          </cell>
          <cell r="C261" t="str">
            <v>SINAPI</v>
          </cell>
          <cell r="D261" t="str">
            <v>TUBO EM COBRE FLEXÍVEL, DN 3/8", COM ISOLAMENTO, INSTALADO EM RAMAL DE ALIMENTAÇÃO DE AR CONDICIONADO COM CONDENSADORA INDIVIDUAL –  FORNECIMENTO E INSTALAÇÃO. AF_12/2015</v>
          </cell>
          <cell r="E261" t="str">
            <v>M</v>
          </cell>
          <cell r="F261">
            <v>80</v>
          </cell>
          <cell r="G261" t="str">
            <v>R$ 47,72</v>
          </cell>
          <cell r="H261">
            <v>35.79</v>
          </cell>
          <cell r="I261">
            <v>2863.2</v>
          </cell>
          <cell r="J261">
            <v>3506.5610399999996</v>
          </cell>
        </row>
        <row r="262">
          <cell r="B262">
            <v>97329</v>
          </cell>
          <cell r="C262" t="str">
            <v>SINAPI</v>
          </cell>
          <cell r="D262" t="str">
            <v>TUBO EM COBRE FLEXÍVEL, DN 1/2", COM ISOLAMENTO, INSTALADO EM RAMAL DE ALIMENTAÇÃO DE AR CONDICIONADO COM CONDENSADORA INDIVIDUAL –  FORNECIMENTO E INSTALAÇÃO. AF_12/2015</v>
          </cell>
          <cell r="E262" t="str">
            <v>M</v>
          </cell>
          <cell r="F262">
            <v>46</v>
          </cell>
          <cell r="G262" t="str">
            <v>R$ 60,67</v>
          </cell>
          <cell r="H262">
            <v>45.502499999999998</v>
          </cell>
          <cell r="I262">
            <v>2093.1149999999998</v>
          </cell>
          <cell r="J262">
            <v>2563.4379404999995</v>
          </cell>
        </row>
        <row r="263">
          <cell r="B263" t="str">
            <v>COMP. 12</v>
          </cell>
          <cell r="C263" t="str">
            <v>COMPOSIÇÃO</v>
          </cell>
          <cell r="D263" t="str">
            <v>TUBO DE COBRE FLEXIVEL, D = 7/8 ", E = 0,79 MM, PARA AR- CONDICIONADO/ INSTALACOES GAS RESIDENCIAIS E COMERCIAIS</v>
          </cell>
          <cell r="E263" t="str">
            <v>UN</v>
          </cell>
          <cell r="F263">
            <v>16</v>
          </cell>
          <cell r="G263" t="str">
            <v>R$ 101,03</v>
          </cell>
          <cell r="H263">
            <v>75.772500000000008</v>
          </cell>
          <cell r="I263">
            <v>1212.3600000000001</v>
          </cell>
          <cell r="J263">
            <v>1484.777292</v>
          </cell>
        </row>
        <row r="264">
          <cell r="B264">
            <v>34627</v>
          </cell>
          <cell r="C264" t="str">
            <v>SINAPI</v>
          </cell>
          <cell r="D264" t="str">
            <v>CABO FLEXIVEL PVC 750 V, 4 CONDUTORES DE 4,0 MM2</v>
          </cell>
          <cell r="E264" t="str">
            <v>M</v>
          </cell>
          <cell r="F264">
            <v>160</v>
          </cell>
          <cell r="G264" t="str">
            <v>R$ 19,15</v>
          </cell>
          <cell r="H264">
            <v>14.362499999999999</v>
          </cell>
          <cell r="I264">
            <v>2298</v>
          </cell>
          <cell r="J264">
            <v>2814.3606</v>
          </cell>
        </row>
        <row r="265">
          <cell r="B265">
            <v>103244</v>
          </cell>
          <cell r="C265" t="str">
            <v>SINAPI</v>
          </cell>
          <cell r="D265" t="str">
            <v>AR CONDICIONADO SPLIT INVERTER, HI-WALL (PAREDE), 9000 BTU/H, CICLO FRIO - FORNECIMENTO E INSTALAÇÃO. AF_11/2021_PE</v>
          </cell>
          <cell r="E265" t="str">
            <v>UN</v>
          </cell>
          <cell r="F265">
            <v>1</v>
          </cell>
          <cell r="G265" t="str">
            <v>R$ 2.854,75</v>
          </cell>
          <cell r="H265">
            <v>2141.0625</v>
          </cell>
          <cell r="I265">
            <v>2141.0625</v>
          </cell>
          <cell r="J265">
            <v>2622.1592437499999</v>
          </cell>
        </row>
        <row r="266">
          <cell r="B266">
            <v>103247</v>
          </cell>
          <cell r="C266" t="str">
            <v>SINAPI</v>
          </cell>
          <cell r="D266" t="str">
            <v>AR CONDICIONADO SPLIT INVERTER, HI-WALL (PAREDE), 12000 BTU/H, CICLO FRIO - FORNECIMENTO E INSTALAÇÃO. AF_11/2021_PE</v>
          </cell>
          <cell r="E266" t="str">
            <v>UN</v>
          </cell>
          <cell r="F266">
            <v>5</v>
          </cell>
          <cell r="G266" t="str">
            <v>R$ 3.168,75</v>
          </cell>
          <cell r="H266">
            <v>2376.5625</v>
          </cell>
          <cell r="I266">
            <v>11882.8125</v>
          </cell>
          <cell r="J266">
            <v>14552.88046875</v>
          </cell>
        </row>
        <row r="267">
          <cell r="B267">
            <v>103250</v>
          </cell>
          <cell r="C267" t="str">
            <v>SINAPI</v>
          </cell>
          <cell r="D267" t="str">
            <v>AR CONDICIONADO SPLIT INVERTER, HI-WALL (PAREDE), 18000 BTU/H, CICLO FRIO - FORNECIMENTO E INSTALAÇÃO. AF_11/2021_PE</v>
          </cell>
          <cell r="E267" t="str">
            <v>UN</v>
          </cell>
          <cell r="F267">
            <v>2</v>
          </cell>
          <cell r="G267" t="str">
            <v>R$ 4.604,82</v>
          </cell>
          <cell r="H267">
            <v>3453.6149999999998</v>
          </cell>
          <cell r="I267">
            <v>6907.23</v>
          </cell>
          <cell r="J267">
            <v>8459.2845809999981</v>
          </cell>
        </row>
        <row r="268">
          <cell r="B268">
            <v>103253</v>
          </cell>
          <cell r="C268" t="str">
            <v>SINAPI</v>
          </cell>
          <cell r="D268" t="str">
            <v>AR CONDICIONADO SPLIT INVERTER, HI-WALL (PAREDE), 24000 BTU/H, CICLO FRIO - FORNECIMENTO E INSTALAÇÃO. AF_11/2021_PE</v>
          </cell>
          <cell r="E268" t="str">
            <v>UN</v>
          </cell>
          <cell r="F268">
            <v>3</v>
          </cell>
          <cell r="G268" t="str">
            <v>R$ 6.278,36</v>
          </cell>
          <cell r="H268">
            <v>4708.7699999999995</v>
          </cell>
          <cell r="I268">
            <v>14126.309999999998</v>
          </cell>
          <cell r="J268">
            <v>17300.481856999999</v>
          </cell>
        </row>
        <row r="269">
          <cell r="B269">
            <v>103265</v>
          </cell>
          <cell r="C269" t="str">
            <v>SINAPI</v>
          </cell>
          <cell r="D269" t="str">
            <v>AR CONDICIONADO SPLIT INVERTER, PISO TETO, APRESENTANDO ENTRE 54000 E 58000 BTU/H, CICLO FRIO - FORNECIMENTO E INSTALAÇÃO. AF_11/2021_PE</v>
          </cell>
          <cell r="E269" t="str">
            <v>UN</v>
          </cell>
          <cell r="F269">
            <v>1</v>
          </cell>
          <cell r="G269" t="str">
            <v>R$ 24.604,70</v>
          </cell>
          <cell r="H269">
            <v>18453.525000000001</v>
          </cell>
          <cell r="I269">
            <v>18453.525000000001</v>
          </cell>
          <cell r="J269">
            <v>22600.0320675</v>
          </cell>
        </row>
        <row r="270">
          <cell r="B270" t="str">
            <v>18.034.0050-0</v>
          </cell>
          <cell r="C270" t="str">
            <v>EMOP</v>
          </cell>
          <cell r="D270" t="str">
            <v>MICRO EXAUSTOR,INCLUSIVE VENEZIANAS,ADAPTADOR E TUBO FLEXIVEL,PARA AMBIENTES ATE 7M3.FORNECIMENTO E COLOCACAO</v>
          </cell>
          <cell r="E270" t="str">
            <v>UN</v>
          </cell>
          <cell r="F270">
            <v>8</v>
          </cell>
          <cell r="G270" t="str">
            <v>R$ 384,20</v>
          </cell>
          <cell r="H270">
            <v>288.14999999999998</v>
          </cell>
          <cell r="I270">
            <v>2305.1999999999998</v>
          </cell>
          <cell r="J270">
            <v>2823.1784399999997</v>
          </cell>
        </row>
        <row r="271">
          <cell r="B271" t="str">
            <v>18.034.0055-0</v>
          </cell>
          <cell r="C271" t="str">
            <v>EMOP</v>
          </cell>
          <cell r="D271" t="str">
            <v>MICRO EXAUSTOR,INCLUSIVE VENEZIANAS,ADAPTADOR E TUBO FLEXIVEL,PARA AMBIENTES ATE 10M3.FORNECIMENTO E COLOCACAO</v>
          </cell>
          <cell r="E271" t="str">
            <v>UN</v>
          </cell>
          <cell r="F271">
            <v>1</v>
          </cell>
          <cell r="G271" t="str">
            <v>R$ 482,05</v>
          </cell>
          <cell r="H271">
            <v>361.53750000000002</v>
          </cell>
          <cell r="I271">
            <v>361.53750000000002</v>
          </cell>
          <cell r="J271">
            <v>442.77497625000001</v>
          </cell>
        </row>
        <row r="272">
          <cell r="B272" t="str">
            <v>COMP. 13</v>
          </cell>
          <cell r="C272" t="str">
            <v>COMPOSIÇÃO</v>
          </cell>
          <cell r="D272" t="str">
            <v>VENTILADOR IN LINE SICFLUX MODELO MAXX 315 OU EQUIVALENTE, VAZÃO 2177M3/H, PRESSÃO ESTATICA 18MMCA, COM FILTRO G4 OU M5.
FORNECIMENTO E COLOCAÇÃO</v>
          </cell>
          <cell r="E272" t="str">
            <v>UN</v>
          </cell>
          <cell r="F272">
            <v>1</v>
          </cell>
          <cell r="G272" t="str">
            <v>R$ 3.167,92</v>
          </cell>
          <cell r="H272">
            <v>2375.94</v>
          </cell>
          <cell r="I272">
            <v>2375.94</v>
          </cell>
          <cell r="J272">
            <v>2909.8137179999999</v>
          </cell>
        </row>
        <row r="273">
          <cell r="B273" t="str">
            <v>15.005.0280-0</v>
          </cell>
          <cell r="C273" t="str">
            <v>EMOP</v>
          </cell>
          <cell r="D273" t="str">
            <v>DUTO PARA EXAUSTAO DE AR/VENTILACAO,CHAVETADO EM CHAPA DE ACO GALVANIZADO,NAS DIVERSAS BITOLAS,CONFORME ABNT NBR 16401,INCLUSIVE SUPORTES PINTADOS,GRELHAS,DIFUSORES EM ALUMINIO EXTRUDADO E DEMAIS ITENS NECESSARIOS.FORNECIMENTO E COLOCACAO</v>
          </cell>
          <cell r="E273" t="str">
            <v>KG</v>
          </cell>
          <cell r="F273">
            <v>138.1</v>
          </cell>
          <cell r="G273" t="str">
            <v>R$ 65,51</v>
          </cell>
          <cell r="H273">
            <v>49.132500000000007</v>
          </cell>
          <cell r="I273">
            <v>6785.1982500000004</v>
          </cell>
          <cell r="J273">
            <v>8309.8322967749991</v>
          </cell>
        </row>
        <row r="274">
          <cell r="B274" t="str">
            <v>COMP. 14</v>
          </cell>
          <cell r="C274" t="str">
            <v>COMPOSIÇÃO</v>
          </cell>
          <cell r="D274" t="str">
            <v>DUTO FLEXÍVEL ALUMINIZADO CIRCULAR, DN 150MM - FORNECIMENTO E INSTALAÇÃO</v>
          </cell>
          <cell r="E274" t="str">
            <v>UN</v>
          </cell>
          <cell r="F274">
            <v>20</v>
          </cell>
          <cell r="G274" t="str">
            <v>R$ 83,14</v>
          </cell>
          <cell r="H274">
            <v>62.355000000000004</v>
          </cell>
          <cell r="I274">
            <v>1247.1000000000001</v>
          </cell>
          <cell r="J274">
            <v>1527.3233700000001</v>
          </cell>
        </row>
        <row r="275">
          <cell r="B275">
            <v>97881</v>
          </cell>
          <cell r="C275" t="str">
            <v>SINAPI</v>
          </cell>
          <cell r="D275" t="str">
            <v>CAIXA ENTERRADA ELÉTRICA RETANGULAR, EM CONCRETO PRÉ- MOLDADO, FUNDO COM BRITA, DIMENSÕES INTERNAS: 0,3X0,3X0,3 M. AF_12/2020</v>
          </cell>
          <cell r="E275" t="str">
            <v>UN</v>
          </cell>
          <cell r="F275">
            <v>4</v>
          </cell>
          <cell r="G275" t="str">
            <v>R$ 169,76</v>
          </cell>
          <cell r="H275">
            <v>127.32</v>
          </cell>
          <cell r="I275">
            <v>509.28</v>
          </cell>
          <cell r="J275">
            <v>623.71521599999994</v>
          </cell>
        </row>
        <row r="276">
          <cell r="B276">
            <v>97669</v>
          </cell>
          <cell r="C276" t="str">
            <v>SINAPI</v>
          </cell>
          <cell r="D276" t="str">
            <v>ELETRODUTO FLEXÍVEL CORRUGADO, PEAD, DN 90 (3"), PARA REDE ENTERRADA DE DISTRIBUIÇÃO DE ENERGIA ELÉTRICA - FORNECIMENTO E INSTALAÇÃO. AF_12/2021</v>
          </cell>
          <cell r="E276" t="str">
            <v>M</v>
          </cell>
          <cell r="F276">
            <v>67.3</v>
          </cell>
          <cell r="G276" t="str">
            <v>R$ 22,84</v>
          </cell>
          <cell r="H276">
            <v>17.13</v>
          </cell>
          <cell r="I276">
            <v>1152.8489999999999</v>
          </cell>
          <cell r="J276">
            <v>1411.8941702999998</v>
          </cell>
        </row>
        <row r="277">
          <cell r="B277">
            <v>97668</v>
          </cell>
          <cell r="C277" t="str">
            <v>SINAPI</v>
          </cell>
          <cell r="D277" t="str">
            <v>ELETRODUTO FLEXÍVEL CORRUGADO, PEAD, DN 63 (2"), PARA REDE ENTERRADA DE DISTRIBUIÇÃO DE ENERGIA ELÉTRICA - FORNECIMENTO E INSTALAÇÃO. AF_12/2021</v>
          </cell>
          <cell r="E277" t="str">
            <v>M</v>
          </cell>
          <cell r="F277">
            <v>22.1</v>
          </cell>
          <cell r="G277" t="str">
            <v>R$ 15,32</v>
          </cell>
          <cell r="H277">
            <v>11.49</v>
          </cell>
          <cell r="I277">
            <v>253.92900000000003</v>
          </cell>
          <cell r="J277">
            <v>310.98684630000002</v>
          </cell>
        </row>
        <row r="278">
          <cell r="B278">
            <v>91849</v>
          </cell>
          <cell r="C278" t="str">
            <v>SINAPI</v>
          </cell>
          <cell r="D278" t="str">
            <v>ELETRODUTO FLEXÍVEL LISO, PEAD, DN 32 MM (1"), PARA CIRCUITOS TERMINAIS, INSTALADO EM LAJE - FORNECIMENTO E INSTALAÇÃO. AF_03/2023</v>
          </cell>
          <cell r="E278" t="str">
            <v>M</v>
          </cell>
          <cell r="F278">
            <v>65.7</v>
          </cell>
          <cell r="G278" t="str">
            <v>R$ 9,68</v>
          </cell>
          <cell r="H278">
            <v>7.26</v>
          </cell>
          <cell r="I278">
            <v>476.98200000000003</v>
          </cell>
          <cell r="J278">
            <v>584.15985539999997</v>
          </cell>
        </row>
        <row r="279">
          <cell r="B279">
            <v>91834</v>
          </cell>
          <cell r="C279" t="str">
            <v>SINAPI</v>
          </cell>
          <cell r="D279" t="str">
            <v>ELETRODUTO FLEXÍVEL CORRUGADO, PVC, DN 25 MM (3/4"), PARA CIRCUITOS TERMINAIS, INSTALADO EM FORRO - FORNECIMENTO E INSTALAÇÃO. AF_03/2023</v>
          </cell>
          <cell r="E279" t="str">
            <v>M</v>
          </cell>
          <cell r="F279">
            <v>169.6</v>
          </cell>
          <cell r="G279" t="str">
            <v>R$ 22,99</v>
          </cell>
          <cell r="H279">
            <v>17.2425</v>
          </cell>
          <cell r="I279">
            <v>2924.328</v>
          </cell>
          <cell r="J279">
            <v>3581.4245015999995</v>
          </cell>
        </row>
        <row r="280">
          <cell r="B280">
            <v>91854</v>
          </cell>
          <cell r="C280" t="str">
            <v>SINAPI</v>
          </cell>
          <cell r="D280" t="str">
            <v>ELETRODUTO FLEXÍVEL CORRUGADO, PVC, DN 25 MM (3/4"), PARA CIRCUITOS TERMINAIS, INSTALADO EM PAREDE - FORNECIMENTO E INSTALAÇÃO. AF_03/2023</v>
          </cell>
          <cell r="E280" t="str">
            <v>M</v>
          </cell>
          <cell r="F280">
            <v>84.5</v>
          </cell>
          <cell r="G280" t="str">
            <v>R$ 12,39</v>
          </cell>
          <cell r="H280">
            <v>9.2925000000000004</v>
          </cell>
          <cell r="I280">
            <v>785.21625000000006</v>
          </cell>
          <cell r="J280">
            <v>961.65434137499994</v>
          </cell>
        </row>
        <row r="281">
          <cell r="B281">
            <v>91845</v>
          </cell>
          <cell r="C281" t="str">
            <v>SINAPI</v>
          </cell>
          <cell r="D281" t="str">
            <v>ELETRODUTO FLEXÍVEL CORRUGADO REFORÇADO, PVC, DN 25 MM (3/4"), PARA CIRCUITOS TERMINAIS, INSTALADO EM LAJE - FORNECIMENTO E INSTALAÇÃO. AF_03/2023</v>
          </cell>
          <cell r="E281" t="str">
            <v>M</v>
          </cell>
          <cell r="F281">
            <v>8</v>
          </cell>
          <cell r="G281" t="str">
            <v>R$ 9,53</v>
          </cell>
          <cell r="H281">
            <v>7.1474999999999991</v>
          </cell>
          <cell r="I281">
            <v>57.179999999999993</v>
          </cell>
          <cell r="J281">
            <v>70.028345999999985</v>
          </cell>
        </row>
        <row r="282">
          <cell r="B282">
            <v>93009</v>
          </cell>
          <cell r="C282" t="str">
            <v>SINAPI</v>
          </cell>
          <cell r="D282" t="str">
            <v>ELETRODUTO RÍGIDO ROSCÁVEL, PVC, DN 60 MM (2"), PARA REDE ENTERRADA DE DISTRIBUIÇÃO DE ENERGIA ELÉTRICA - FORNECIMENTO E INSTALAÇÃO. AF_12/2021</v>
          </cell>
          <cell r="E282" t="str">
            <v>M</v>
          </cell>
          <cell r="F282">
            <v>13.1</v>
          </cell>
          <cell r="G282" t="str">
            <v>R$ 29,61</v>
          </cell>
          <cell r="H282">
            <v>22.2075</v>
          </cell>
          <cell r="I282">
            <v>290.91825</v>
          </cell>
          <cell r="J282">
            <v>356.27758077499999</v>
          </cell>
        </row>
        <row r="283">
          <cell r="B283" t="str">
            <v>15.011.0019-0</v>
          </cell>
          <cell r="C283" t="str">
            <v>EMOP</v>
          </cell>
          <cell r="D283" t="str">
            <v>ENTRADA ENERGIA INDIVIDUAL,PADRAO ENEL,MEDICAO DIRETA,REDE AEREA,47KVA E 75KVA,TRIFASICA,INCL.CAIXA POLIMERICA P/MEDICAODIRETA POLIFASICA(ATE 200A)CAIXA POLIMERICA P/DISJUNTOR POLIFASICO(ATE 200A)INTERNA,POLICARBONATO TAMPA TRANSPARENTE,CAIXA INSPECAO,HASTE E CONECTOR ATERRAMENTO,MAT.NECES.EXCL.POSTE,DISJUNTOR E CONDUTORES(ENTR.SAIDA,ATERRAMENTO CONECTORES)</v>
          </cell>
          <cell r="E283" t="str">
            <v>UN</v>
          </cell>
          <cell r="F283">
            <v>1</v>
          </cell>
          <cell r="G283" t="str">
            <v>R$ 1.173,70</v>
          </cell>
          <cell r="H283">
            <v>880.27500000000009</v>
          </cell>
          <cell r="I283">
            <v>880.27500000000009</v>
          </cell>
          <cell r="J283">
            <v>1078.0627925000001</v>
          </cell>
        </row>
        <row r="284">
          <cell r="B284" t="str">
            <v>18.045.0012-0</v>
          </cell>
          <cell r="C284" t="str">
            <v>EMOP</v>
          </cell>
          <cell r="D284" t="str">
            <v>POSTE DE CONCRETO,COM SECAO CIRCULAR,COM 5,00M DE COMPRIMENTO E CARGA NOMINAL NO TOPO DE 300KG,INCLUSIVE ESCAVACAO,EXCLUSIVE TRANSPORTE.FORNECIMENTO E COLOCACAO</v>
          </cell>
          <cell r="E284" t="str">
            <v>UN</v>
          </cell>
          <cell r="F284">
            <v>1</v>
          </cell>
          <cell r="G284" t="str">
            <v>R$ 1.125,20</v>
          </cell>
          <cell r="H284">
            <v>843.90000000000009</v>
          </cell>
          <cell r="I284">
            <v>843.90000000000009</v>
          </cell>
          <cell r="J284">
            <v>1033.52433</v>
          </cell>
        </row>
        <row r="285">
          <cell r="B285">
            <v>863</v>
          </cell>
          <cell r="C285" t="str">
            <v>SINAPI</v>
          </cell>
          <cell r="D285" t="str">
            <v>CABO DE COBRE NU 35 MM2 MEIO-DURO</v>
          </cell>
          <cell r="E285" t="str">
            <v>M</v>
          </cell>
          <cell r="F285">
            <v>2.2000000000000002</v>
          </cell>
          <cell r="G285" t="str">
            <v>R$ 39,10</v>
          </cell>
          <cell r="H285">
            <v>29.325000000000003</v>
          </cell>
          <cell r="I285">
            <v>64.515000000000015</v>
          </cell>
          <cell r="J285">
            <v>79.011520500000017</v>
          </cell>
        </row>
        <row r="286">
          <cell r="B286" t="str">
            <v>COMP. 15</v>
          </cell>
          <cell r="C286" t="str">
            <v>COMPOSIÇÃO</v>
          </cell>
          <cell r="D286" t="str">
            <v>QUADRO DE DISTRIBUIÇÃO DE ENERGIA EM CHAPA DE AÇO GALVANIZADO, DE EMBUTIR, COM BARRAMENTO TRIFÁSICO, PARA 56 DISJUNTORES DIN 225A - FORNECIMENTO E INSTALAÇÃO.</v>
          </cell>
          <cell r="E286" t="str">
            <v>UN</v>
          </cell>
          <cell r="F286">
            <v>1</v>
          </cell>
          <cell r="G286" t="str">
            <v>R$ 1.028,75</v>
          </cell>
          <cell r="H286">
            <v>771.5625</v>
          </cell>
          <cell r="I286">
            <v>771.5625</v>
          </cell>
          <cell r="J286">
            <v>944.93259374999991</v>
          </cell>
        </row>
        <row r="287">
          <cell r="B287">
            <v>101881</v>
          </cell>
          <cell r="C287" t="str">
            <v>SINAPI</v>
          </cell>
          <cell r="D287" t="str">
            <v>QUADRO DE DISTRIBUIÇÃO DE ENERGIA EM CHAPA DE AÇO GALVANIZADO, DE EMBUTIR, COM BARRAMENTO TRIFÁSICO, PARA 40 DISJUNTORES DIN 100A - FORNECIMENTO E INSTALAÇÃO. AF_10/2020</v>
          </cell>
          <cell r="E287" t="str">
            <v>UN</v>
          </cell>
          <cell r="F287">
            <v>1</v>
          </cell>
          <cell r="G287" t="str">
            <v>R$ 909,74</v>
          </cell>
          <cell r="H287">
            <v>682.30500000000006</v>
          </cell>
          <cell r="I287">
            <v>682.30500000000006</v>
          </cell>
          <cell r="J287">
            <v>835.61893350000003</v>
          </cell>
        </row>
        <row r="288">
          <cell r="B288">
            <v>101883</v>
          </cell>
          <cell r="C288" t="str">
            <v>SINAPI</v>
          </cell>
          <cell r="D288" t="str">
            <v>QUADRO DE DISTRIBUIÇÃO DE ENERGIA EM CHAPA DE AÇO GALVANIZADO, DE EMBUTIR, COM BARRAMENTO TRIFÁSICO, PARA 18 DISJUNTORES DIN 100A - FORNECIMENTO E INSTALAÇÃO. AF_10/2020</v>
          </cell>
          <cell r="E288" t="str">
            <v>UN</v>
          </cell>
          <cell r="F288">
            <v>2</v>
          </cell>
          <cell r="G288" t="str">
            <v>R$ 529,17</v>
          </cell>
          <cell r="H288">
            <v>396.87749999999994</v>
          </cell>
          <cell r="I288">
            <v>793.75499999999988</v>
          </cell>
          <cell r="J288">
            <v>972.11174849999975</v>
          </cell>
        </row>
        <row r="289">
          <cell r="B289" t="str">
            <v>COMP. 16</v>
          </cell>
          <cell r="C289" t="str">
            <v>COMPOSIÇÃO</v>
          </cell>
          <cell r="D289" t="str">
            <v>CHAVE DE TRANSFERÊNCIA, 04 POLOS, 3 POSIÇÕES, 32 A - FORNECIMENTO E INSTALAÇÃO</v>
          </cell>
          <cell r="E289" t="str">
            <v>UN</v>
          </cell>
          <cell r="F289">
            <v>1</v>
          </cell>
          <cell r="G289" t="str">
            <v>R$ 319,66</v>
          </cell>
          <cell r="H289">
            <v>239.745</v>
          </cell>
          <cell r="I289">
            <v>239.745</v>
          </cell>
          <cell r="J289">
            <v>293.6157015</v>
          </cell>
        </row>
        <row r="290">
          <cell r="B290">
            <v>101896</v>
          </cell>
          <cell r="C290" t="str">
            <v>SINAPI</v>
          </cell>
          <cell r="D290" t="str">
            <v>DISJUNTOR TERMOMAGNÉTICO TRIPOLAR , CORRENTE NOMINAL DE 200A - FORNECIMENTO E INSTALAÇÃO. AF_10/2020</v>
          </cell>
          <cell r="E290" t="str">
            <v>UN</v>
          </cell>
          <cell r="F290">
            <v>2</v>
          </cell>
          <cell r="G290" t="str">
            <v>R$ 598,55</v>
          </cell>
          <cell r="H290">
            <v>448.91249999999997</v>
          </cell>
          <cell r="I290">
            <v>897.82499999999993</v>
          </cell>
          <cell r="J290">
            <v>1099.5662774999998</v>
          </cell>
        </row>
        <row r="291">
          <cell r="B291">
            <v>93670</v>
          </cell>
          <cell r="C291" t="str">
            <v>SINAPI</v>
          </cell>
          <cell r="D291" t="str">
            <v>DISJUNTOR TRIPOLAR TIPO DIN, CORRENTE NOMINAL DE 25A - FORNECIMENTO E INSTALAÇÃO. AF_10/2020</v>
          </cell>
          <cell r="E291" t="str">
            <v>UN</v>
          </cell>
          <cell r="F291">
            <v>3</v>
          </cell>
          <cell r="G291" t="str">
            <v>R$ 73,40</v>
          </cell>
          <cell r="H291">
            <v>55.050000000000004</v>
          </cell>
          <cell r="I291">
            <v>165.15</v>
          </cell>
          <cell r="J291">
            <v>202.25920499999998</v>
          </cell>
        </row>
        <row r="292">
          <cell r="B292">
            <v>93671</v>
          </cell>
          <cell r="C292" t="str">
            <v>SINAPI</v>
          </cell>
          <cell r="D292" t="str">
            <v>DISJUNTOR TRIPOLAR TIPO DIN, CORRENTE NOMINAL DE 32A - FORNECIMENTO E INSTALAÇÃO. AF_10/2020</v>
          </cell>
          <cell r="E292" t="str">
            <v>UN</v>
          </cell>
          <cell r="F292">
            <v>2</v>
          </cell>
          <cell r="G292" t="str">
            <v>R$ 79,64</v>
          </cell>
          <cell r="H292">
            <v>59.730000000000004</v>
          </cell>
          <cell r="I292">
            <v>119.46000000000001</v>
          </cell>
          <cell r="J292">
            <v>146.302662</v>
          </cell>
        </row>
        <row r="293">
          <cell r="B293">
            <v>93673</v>
          </cell>
          <cell r="C293" t="str">
            <v>SINAPI</v>
          </cell>
          <cell r="D293" t="str">
            <v>DISJUNTOR TRIPOLAR TIPO DIN, CORRENTE NOMINAL DE 50A - FORNECIMENTO E INSTALAÇÃO. AF_10/2020</v>
          </cell>
          <cell r="E293" t="str">
            <v>UN</v>
          </cell>
          <cell r="F293">
            <v>2</v>
          </cell>
          <cell r="G293" t="str">
            <v>R$ 102,52</v>
          </cell>
          <cell r="H293">
            <v>76.89</v>
          </cell>
          <cell r="I293">
            <v>153.78</v>
          </cell>
          <cell r="J293">
            <v>188.33436599999999</v>
          </cell>
        </row>
        <row r="294">
          <cell r="B294" t="str">
            <v>COMP. 17</v>
          </cell>
          <cell r="C294" t="str">
            <v>COMPOSIÇÃO</v>
          </cell>
          <cell r="D294" t="str">
            <v>DISJUNTOR TRIPOLAR TIPO DIN, CORRENTE NOMINAL 80A - FORNECIMENTO E INSTALAÇÃO</v>
          </cell>
          <cell r="E294" t="str">
            <v>UN</v>
          </cell>
          <cell r="F294">
            <v>2</v>
          </cell>
          <cell r="G294" t="str">
            <v>R$ 192,79</v>
          </cell>
          <cell r="H294">
            <v>144.5925</v>
          </cell>
          <cell r="I294">
            <v>289.185</v>
          </cell>
          <cell r="J294">
            <v>354.16486949999995</v>
          </cell>
        </row>
        <row r="295">
          <cell r="B295">
            <v>93653</v>
          </cell>
          <cell r="C295" t="str">
            <v>SINAPI</v>
          </cell>
          <cell r="D295" t="str">
            <v>DISJUNTOR MONOPOLAR TIPO DIN, CORRENTE NOMINAL DE 10A - FORNECIMENTO E INSTALAÇÃO. AF_10/2020</v>
          </cell>
          <cell r="E295" t="str">
            <v>UN</v>
          </cell>
          <cell r="F295">
            <v>9</v>
          </cell>
          <cell r="G295" t="str">
            <v>R$ 11,42</v>
          </cell>
          <cell r="H295">
            <v>8.5649999999999995</v>
          </cell>
          <cell r="I295">
            <v>77.084999999999994</v>
          </cell>
          <cell r="J295">
            <v>94.405999499999979</v>
          </cell>
        </row>
        <row r="296">
          <cell r="B296">
            <v>93654</v>
          </cell>
          <cell r="C296" t="str">
            <v>SINAPI</v>
          </cell>
          <cell r="D296" t="str">
            <v>DISJUNTOR MONOPOLAR TIPO DIN, CORRENTE NOMINAL DE 16A - FORNECIMENTO E INSTALAÇÃO. AF_10/2020</v>
          </cell>
          <cell r="E296" t="str">
            <v>UN</v>
          </cell>
          <cell r="F296">
            <v>4</v>
          </cell>
          <cell r="G296" t="str">
            <v>R$ 12,33</v>
          </cell>
          <cell r="H296">
            <v>9.2475000000000005</v>
          </cell>
          <cell r="I296">
            <v>36.99</v>
          </cell>
          <cell r="J296">
            <v>45.301653000000002</v>
          </cell>
        </row>
        <row r="297">
          <cell r="B297">
            <v>93656</v>
          </cell>
          <cell r="C297" t="str">
            <v>SINAPI</v>
          </cell>
          <cell r="D297" t="str">
            <v>DISJUNTOR MONOPOLAR TIPO DIN, CORRENTE NOMINAL DE 25A - FORNECIMENTO E INSTALAÇÃO. AF_10/2020</v>
          </cell>
          <cell r="E297" t="str">
            <v>UN</v>
          </cell>
          <cell r="F297">
            <v>1</v>
          </cell>
          <cell r="G297" t="str">
            <v>R$ 14,00</v>
          </cell>
          <cell r="H297">
            <v>10.5</v>
          </cell>
          <cell r="I297">
            <v>10.5</v>
          </cell>
          <cell r="J297">
            <v>12.859349999999999</v>
          </cell>
        </row>
        <row r="298">
          <cell r="B298">
            <v>93660</v>
          </cell>
          <cell r="C298" t="str">
            <v>SINAPI</v>
          </cell>
          <cell r="D298" t="str">
            <v>DISJUNTOR BIPOLAR TIPO DIN, CORRENTE NOMINAL DE 10A - FORNECIMENTO E INSTALAÇÃO. AF_10/2020</v>
          </cell>
          <cell r="E298" t="str">
            <v>UN</v>
          </cell>
          <cell r="F298">
            <v>4</v>
          </cell>
          <cell r="G298" t="str">
            <v>R$ 51,93</v>
          </cell>
          <cell r="H298">
            <v>38.947499999999998</v>
          </cell>
          <cell r="I298">
            <v>155.79</v>
          </cell>
          <cell r="J298">
            <v>190.79601299999999</v>
          </cell>
        </row>
        <row r="299">
          <cell r="B299">
            <v>93661</v>
          </cell>
          <cell r="C299" t="str">
            <v>SINAPI</v>
          </cell>
          <cell r="D299" t="str">
            <v>DISJUNTOR BIPOLAR TIPO DIN, CORRENTE NOMINAL DE 16A - FORNECIMENTO E INSTALAÇÃO. AF_10/2020</v>
          </cell>
          <cell r="E299" t="str">
            <v>UN</v>
          </cell>
          <cell r="F299">
            <v>10</v>
          </cell>
          <cell r="G299" t="str">
            <v>R$ 53,76</v>
          </cell>
          <cell r="H299">
            <v>40.32</v>
          </cell>
          <cell r="I299">
            <v>403.2</v>
          </cell>
          <cell r="J299">
            <v>493.79903999999993</v>
          </cell>
        </row>
        <row r="300">
          <cell r="B300">
            <v>93664</v>
          </cell>
          <cell r="C300" t="str">
            <v>SINAPI</v>
          </cell>
          <cell r="D300" t="str">
            <v>DISJUNTOR BIPOLAR TIPO DIN, CORRENTE NOMINAL DE 32A - FORNECIMENTO E INSTALAÇÃO. AF_10/2020</v>
          </cell>
          <cell r="E300" t="str">
            <v>UN</v>
          </cell>
          <cell r="F300">
            <v>1</v>
          </cell>
          <cell r="G300" t="str">
            <v>R$ 61,29</v>
          </cell>
          <cell r="H300">
            <v>45.967500000000001</v>
          </cell>
          <cell r="I300">
            <v>45.967500000000001</v>
          </cell>
          <cell r="J300">
            <v>56.296397249999998</v>
          </cell>
        </row>
        <row r="301">
          <cell r="B301">
            <v>39465</v>
          </cell>
          <cell r="C301" t="str">
            <v>SINAPI</v>
          </cell>
          <cell r="D301" t="str">
            <v>DISPOSITIVO DPS CLASSE II, 1 POLO, TENSAO MAXIMA DE 175 V, CORRENTE MAXIMA DE *20* KA (TIPO AC)</v>
          </cell>
          <cell r="E301" t="str">
            <v>UN</v>
          </cell>
          <cell r="F301">
            <v>4</v>
          </cell>
          <cell r="G301" t="str">
            <v>R$ 58,35</v>
          </cell>
          <cell r="H301">
            <v>43.762500000000003</v>
          </cell>
          <cell r="I301">
            <v>175.05</v>
          </cell>
          <cell r="J301">
            <v>214.383735</v>
          </cell>
        </row>
        <row r="302">
          <cell r="B302">
            <v>39445</v>
          </cell>
          <cell r="C302" t="str">
            <v>SINAPI</v>
          </cell>
          <cell r="D302" t="str">
            <v>DISPOSITIVO DR, 2 POLOS, SENSIBILIDADE DE 30 MA, CORRENTE DE 25 A, TIPO AC</v>
          </cell>
          <cell r="E302" t="str">
            <v>UN</v>
          </cell>
          <cell r="F302">
            <v>7</v>
          </cell>
          <cell r="G302" t="str">
            <v>R$ 120,07</v>
          </cell>
          <cell r="H302">
            <v>90.052499999999995</v>
          </cell>
          <cell r="I302">
            <v>630.36749999999995</v>
          </cell>
          <cell r="J302">
            <v>772.01107724999986</v>
          </cell>
        </row>
        <row r="303">
          <cell r="B303" t="str">
            <v>15.018.0175-0</v>
          </cell>
          <cell r="C303" t="str">
            <v>EMOP</v>
          </cell>
          <cell r="D303" t="str">
            <v>CANALETA PERFURADA ALTA(PERFILADOS),MEDINDO(38X38X6000)MM PRE-GALVANIZADA,INCLUSIVE SUPORTE E CONEXOES.FORNECIMENTO E COLOCACAO</v>
          </cell>
          <cell r="E303" t="str">
            <v>M</v>
          </cell>
          <cell r="F303">
            <v>89</v>
          </cell>
          <cell r="G303" t="str">
            <v>R$ 68,02</v>
          </cell>
          <cell r="H303">
            <v>51.015000000000001</v>
          </cell>
          <cell r="I303">
            <v>4540.335</v>
          </cell>
          <cell r="J303">
            <v>5560.5382744999997</v>
          </cell>
        </row>
        <row r="304">
          <cell r="B304" t="str">
            <v>15.018.0469-0</v>
          </cell>
          <cell r="C304" t="str">
            <v>EMOP</v>
          </cell>
          <cell r="D304" t="str">
            <v>ELETROCALHA PERFURADA,SEM TAMPA,TIPO "U",200X50MM,TRATAMENTOSUPERFICIAL PRE-ZINCADO A QUENTE,INCLUSIVE CONEXOES,ACESSORIOS E FIXACAO SUPERIOR.FORNECIMENTO E COLOCACAO</v>
          </cell>
          <cell r="E304" t="str">
            <v>M</v>
          </cell>
          <cell r="F304">
            <v>41.8</v>
          </cell>
          <cell r="G304" t="str">
            <v>R$ 93,88</v>
          </cell>
          <cell r="H304">
            <v>70.41</v>
          </cell>
          <cell r="I304">
            <v>2943.1379999999995</v>
          </cell>
          <cell r="J304">
            <v>3604.4511085999989</v>
          </cell>
        </row>
        <row r="305">
          <cell r="B305" t="str">
            <v>15.018.0732-0</v>
          </cell>
          <cell r="C305" t="str">
            <v>EMOP</v>
          </cell>
          <cell r="D305" t="str">
            <v>CURVA DE INVERSAO,90º,PARA ELETROCALHA PERFURADA OU LISA,200X50MM.FORNECIMENTO E COLOCACAO</v>
          </cell>
          <cell r="E305" t="str">
            <v>UN</v>
          </cell>
          <cell r="F305">
            <v>2</v>
          </cell>
          <cell r="G305" t="str">
            <v>R$ 55,49</v>
          </cell>
          <cell r="H305">
            <v>41.6175</v>
          </cell>
          <cell r="I305">
            <v>83.234999999999999</v>
          </cell>
          <cell r="J305">
            <v>101.93790449999999</v>
          </cell>
        </row>
        <row r="306">
          <cell r="B306" t="str">
            <v>15.018.0752-0</v>
          </cell>
          <cell r="C306" t="str">
            <v>EMOP</v>
          </cell>
          <cell r="D306" t="str">
            <v>TE HORIZONTAL,90º,PARA ELETROCALHA PERFURADA OU LISA,200X50MM.FORNECIMENTO E COLOCACAO</v>
          </cell>
          <cell r="E306" t="str">
            <v>UN</v>
          </cell>
          <cell r="F306">
            <v>3</v>
          </cell>
          <cell r="G306" t="str">
            <v>R$ 64,55</v>
          </cell>
          <cell r="H306">
            <v>48.412499999999994</v>
          </cell>
          <cell r="I306">
            <v>145.23749999999998</v>
          </cell>
          <cell r="J306">
            <v>177.87236624999997</v>
          </cell>
        </row>
        <row r="307">
          <cell r="B307" t="str">
            <v>15.018.0942-0</v>
          </cell>
          <cell r="C307" t="str">
            <v>EMOP</v>
          </cell>
          <cell r="D307" t="str">
            <v>TERMINAL DE FECHAMENTO LISO,PARA ELETROCALHA PERFURADA OU LISA,200X50MM.FORNECIMENTO E COLOCACAO</v>
          </cell>
          <cell r="E307" t="str">
            <v>UN</v>
          </cell>
          <cell r="F307">
            <v>3</v>
          </cell>
          <cell r="G307" t="str">
            <v>R$ 17,01</v>
          </cell>
          <cell r="H307">
            <v>12.7575</v>
          </cell>
          <cell r="I307">
            <v>38.272500000000001</v>
          </cell>
          <cell r="J307">
            <v>46.872330749999996</v>
          </cell>
        </row>
        <row r="308">
          <cell r="B308">
            <v>92992</v>
          </cell>
          <cell r="C308" t="str">
            <v>SINAPI</v>
          </cell>
          <cell r="D308" t="str">
            <v>CABO DE COBRE FLEXÍVEL ISOLADO, 95 MM², ANTI-CHAMA 0,6/1,0 KV, PARA REDE ENTERRADA DE DISTRIBUIÇÃO DE ENERGIA ELÉTRICA - FORNECIMENTO E INSTALAÇÃO. AF_12/2021</v>
          </cell>
          <cell r="E308" t="str">
            <v>M</v>
          </cell>
          <cell r="F308">
            <v>114.8</v>
          </cell>
          <cell r="G308" t="str">
            <v>R$ 106,71</v>
          </cell>
          <cell r="H308">
            <v>80.032499999999999</v>
          </cell>
          <cell r="I308">
            <v>9187.7309999999998</v>
          </cell>
          <cell r="J308">
            <v>11252.2141557</v>
          </cell>
        </row>
        <row r="309">
          <cell r="B309">
            <v>92988</v>
          </cell>
          <cell r="C309" t="str">
            <v>SINAPI</v>
          </cell>
          <cell r="D309" t="str">
            <v>CABO DE COBRE FLEXÍVEL ISOLADO, 50 MM², ANTI-CHAMA 0,6/1,0 KV, PARA REDE ENTERRADA DE DISTRIBUIÇÃO DE ENERGIA ELÉTRICA - FORNECIMENTO E INSTALAÇÃO. AF_12/2021</v>
          </cell>
          <cell r="E309" t="str">
            <v>M</v>
          </cell>
          <cell r="F309">
            <v>28.7</v>
          </cell>
          <cell r="G309" t="str">
            <v>R$ 59,90</v>
          </cell>
          <cell r="H309">
            <v>44.924999999999997</v>
          </cell>
          <cell r="I309">
            <v>1289.3474999999999</v>
          </cell>
          <cell r="J309">
            <v>1579.0638832499997</v>
          </cell>
        </row>
        <row r="310">
          <cell r="B310">
            <v>101563</v>
          </cell>
          <cell r="C310" t="str">
            <v>SINAPI</v>
          </cell>
          <cell r="D310" t="str">
            <v>CABO DE COBRE FLEXÍVEL ISOLADO, 35 MM², 0,6/1,0 KV, PARA REDE AÉREA DE DISTRIBUIÇÃO DE ENERGIA ELÉTRICA DE BAIXA TENSÃO - FORNECIMENTO E INSTALAÇÃO. AF_07/2020</v>
          </cell>
          <cell r="E310" t="str">
            <v>M</v>
          </cell>
          <cell r="F310">
            <v>29.2</v>
          </cell>
          <cell r="G310" t="str">
            <v>R$ 37,37</v>
          </cell>
          <cell r="H310">
            <v>28.027499999999996</v>
          </cell>
          <cell r="I310">
            <v>818.40299999999991</v>
          </cell>
          <cell r="J310">
            <v>1002.2981540999998</v>
          </cell>
        </row>
        <row r="311">
          <cell r="B311">
            <v>101889</v>
          </cell>
          <cell r="C311" t="str">
            <v>SINAPI</v>
          </cell>
          <cell r="D311" t="str">
            <v>CABO DE COBRE ISOLADO, 25 MM², ANTI-CHAMA 0,6/1 KV, INSTALADO EM ELETROCALHA OU PERFILADO - FORNECIMENTO E INSTALAÇÃO. AF_10/2020</v>
          </cell>
          <cell r="E311" t="str">
            <v>M</v>
          </cell>
          <cell r="F311">
            <v>84</v>
          </cell>
          <cell r="G311" t="str">
            <v>R$ 26,99</v>
          </cell>
          <cell r="H311">
            <v>20.2425</v>
          </cell>
          <cell r="I311">
            <v>1700.37</v>
          </cell>
          <cell r="J311">
            <v>2082.4431389999995</v>
          </cell>
        </row>
        <row r="312">
          <cell r="B312">
            <v>91927</v>
          </cell>
          <cell r="C312" t="str">
            <v>SINAPI</v>
          </cell>
          <cell r="D312" t="str">
            <v>CABO DE COBRE FLEXÍVEL ISOLADO, 2,5 MM², ANTI-CHAMA 0,6/1,0 KV, PARA CIRCUITOS TERMINAIS - FORNECIMENTO E INSTALAÇÃO. AF_03/2023</v>
          </cell>
          <cell r="E312" t="str">
            <v>M</v>
          </cell>
          <cell r="F312">
            <v>1509.5</v>
          </cell>
          <cell r="G312" t="str">
            <v>R$ 5,68</v>
          </cell>
          <cell r="H312">
            <v>4.26</v>
          </cell>
          <cell r="I312">
            <v>6430.4699999999993</v>
          </cell>
          <cell r="J312">
            <v>7875.3866089999983</v>
          </cell>
        </row>
        <row r="313">
          <cell r="B313">
            <v>91929</v>
          </cell>
          <cell r="C313" t="str">
            <v>SINAPI</v>
          </cell>
          <cell r="D313" t="str">
            <v>CABO DE COBRE FLEXÍVEL ISOLADO, 4 MM², ANTI-CHAMA 0,6/1,0 KV, PARA CIRCUITOS TERMINAIS - FORNECIMENTO E INSTALAÇÃO. AF_03/2023</v>
          </cell>
          <cell r="E313" t="str">
            <v>M</v>
          </cell>
          <cell r="F313">
            <v>873.7</v>
          </cell>
          <cell r="G313" t="str">
            <v>R$ 8,27</v>
          </cell>
          <cell r="H313">
            <v>6.2024999999999997</v>
          </cell>
          <cell r="I313">
            <v>5419.1242499999998</v>
          </cell>
          <cell r="J313">
            <v>6636.7914689749987</v>
          </cell>
        </row>
        <row r="314">
          <cell r="B314">
            <v>91931</v>
          </cell>
          <cell r="C314" t="str">
            <v>SINAPI</v>
          </cell>
          <cell r="D314" t="str">
            <v>CABO DE COBRE FLEXÍVEL ISOLADO, 6 MM², ANTI-CHAMA 0,6/1,0 KV, PARA CIRCUITOS TERMINAIS - FORNECIMENTO E INSTALAÇÃO. AF_03/2023</v>
          </cell>
          <cell r="E314" t="str">
            <v>M</v>
          </cell>
          <cell r="F314">
            <v>30</v>
          </cell>
          <cell r="G314" t="str">
            <v>R$ 11,58</v>
          </cell>
          <cell r="H314">
            <v>8.6850000000000005</v>
          </cell>
          <cell r="I314">
            <v>260.55</v>
          </cell>
          <cell r="J314">
            <v>319.08558499999998</v>
          </cell>
        </row>
        <row r="315">
          <cell r="B315">
            <v>91932</v>
          </cell>
          <cell r="C315" t="str">
            <v>SINAPI</v>
          </cell>
          <cell r="D315" t="str">
            <v>CABO DE COBRE FLEXÍVEL ISOLADO, 10 MM², ANTI-CHAMA 450/750 V, PARA CIRCUITOS TERMINAIS - FORNECIMENTO E INSTALAÇÃO. AF_03/2023</v>
          </cell>
          <cell r="E315" t="str">
            <v>M</v>
          </cell>
          <cell r="F315">
            <v>16.5</v>
          </cell>
          <cell r="G315" t="str">
            <v>R$ 19,01</v>
          </cell>
          <cell r="H315">
            <v>14.2575</v>
          </cell>
          <cell r="I315">
            <v>235.24875</v>
          </cell>
          <cell r="J315">
            <v>288.09914412500001</v>
          </cell>
        </row>
        <row r="316">
          <cell r="B316">
            <v>91935</v>
          </cell>
          <cell r="C316" t="str">
            <v>SINAPI</v>
          </cell>
          <cell r="D316" t="str">
            <v>CABO DE COBRE FLEXÍVEL ISOLADO, 16 MM², ANTI-CHAMA 0,6/1,0 KV, PARA CIRCUITOS TERMINAIS - FORNECIMENTO E INSTALAÇÃO. AF_03/2023</v>
          </cell>
          <cell r="E316" t="str">
            <v>M</v>
          </cell>
          <cell r="F316">
            <v>28.3</v>
          </cell>
          <cell r="G316" t="str">
            <v>R$ 28,72</v>
          </cell>
          <cell r="H316">
            <v>21.54</v>
          </cell>
          <cell r="I316">
            <v>609.58199999999999</v>
          </cell>
          <cell r="J316">
            <v>746.55507539999996</v>
          </cell>
        </row>
        <row r="317">
          <cell r="B317">
            <v>91936</v>
          </cell>
          <cell r="C317" t="str">
            <v>SINAPI</v>
          </cell>
          <cell r="D317" t="str">
            <v>CAIXA OCTOGONAL 4" X 4", PVC, INSTALADA EM LAJE - FORNECIMENTO E INSTALAÇÃO. AF_03/2023</v>
          </cell>
          <cell r="E317" t="str">
            <v>UN</v>
          </cell>
          <cell r="F317">
            <v>107</v>
          </cell>
          <cell r="G317" t="str">
            <v>R$ 24,56</v>
          </cell>
          <cell r="H317">
            <v>18.419999999999998</v>
          </cell>
          <cell r="I317">
            <v>1970.9399999999998</v>
          </cell>
          <cell r="J317">
            <v>2413.8102179999996</v>
          </cell>
        </row>
        <row r="318">
          <cell r="B318">
            <v>91940</v>
          </cell>
          <cell r="C318" t="str">
            <v>SINAPI</v>
          </cell>
          <cell r="D318" t="str">
            <v>CAIXA RETANGULAR 4" X 2" MÉDIA (1,30 M DO PISO), PVC, INSTALADA EM PAREDE - FORNECIMENTO E INSTALAÇÃO. AF_03/2023</v>
          </cell>
          <cell r="E318" t="str">
            <v>UN</v>
          </cell>
          <cell r="F318">
            <v>76</v>
          </cell>
          <cell r="G318" t="str">
            <v>R$ 25,06</v>
          </cell>
          <cell r="H318">
            <v>18.794999999999998</v>
          </cell>
          <cell r="I318">
            <v>1428.4199999999998</v>
          </cell>
          <cell r="J318">
            <v>1749.3859739999996</v>
          </cell>
        </row>
        <row r="319">
          <cell r="B319" t="str">
            <v>15.018.0103-0</v>
          </cell>
          <cell r="C319" t="str">
            <v>EMOP</v>
          </cell>
          <cell r="D319" t="str">
            <v>CAIXA DE LIGACAO DE ALUMINIO SILICIO,TIPO CONDULETES,NO FORMATO TB,DIAMETRO DE 2".FORNECIMENTO E COLOCACAO</v>
          </cell>
          <cell r="E319" t="str">
            <v>UN</v>
          </cell>
          <cell r="F319">
            <v>12</v>
          </cell>
          <cell r="G319" t="str">
            <v>R$ 83,95</v>
          </cell>
          <cell r="H319">
            <v>62.962500000000006</v>
          </cell>
          <cell r="I319">
            <v>755.55000000000007</v>
          </cell>
          <cell r="J319">
            <v>925.32208500000002</v>
          </cell>
        </row>
        <row r="320">
          <cell r="B320" t="str">
            <v>15.018.0305-0</v>
          </cell>
          <cell r="C320" t="str">
            <v>EMOP</v>
          </cell>
          <cell r="D320" t="str">
            <v>CAIXA DE PASSAGEM DE EMBUTIR,EM ACO,COM TAMPA PARAFUSADA,DE15X15CM.FORNECIMENTO E COLOCACAO</v>
          </cell>
          <cell r="E320" t="str">
            <v>UN</v>
          </cell>
          <cell r="F320">
            <v>15</v>
          </cell>
          <cell r="G320" t="str">
            <v>R$ 54,52</v>
          </cell>
          <cell r="H320">
            <v>40.89</v>
          </cell>
          <cell r="I320">
            <v>613.35</v>
          </cell>
          <cell r="J320">
            <v>751.16974499999992</v>
          </cell>
        </row>
        <row r="321">
          <cell r="B321">
            <v>91953</v>
          </cell>
          <cell r="C321" t="str">
            <v>SINAPI</v>
          </cell>
          <cell r="D321" t="str">
            <v>INTERRUPTOR SIMPLES (1 MÓDULO), 10A/250V, INCLUINDO SUPORTE E PLACA - FORNECIMENTO E INSTALAÇÃO. AF_03/2023</v>
          </cell>
          <cell r="E321" t="str">
            <v>UN</v>
          </cell>
          <cell r="F321">
            <v>17</v>
          </cell>
          <cell r="G321" t="str">
            <v>R$ 36,02</v>
          </cell>
          <cell r="H321">
            <v>27.015000000000001</v>
          </cell>
          <cell r="I321">
            <v>459.255</v>
          </cell>
          <cell r="J321">
            <v>562.44959849999998</v>
          </cell>
        </row>
        <row r="322">
          <cell r="B322">
            <v>91996</v>
          </cell>
          <cell r="C322" t="str">
            <v>SINAPI</v>
          </cell>
          <cell r="D322" t="str">
            <v>TOMADA MÉDIA DE EMBUTIR (1 MÓDULO), 2P+T 10 A, INCLUINDO SUPORTE E PLACA - FORNECIMENTO E INSTALAÇÃO. AF_03/2023</v>
          </cell>
          <cell r="E322" t="str">
            <v>UN</v>
          </cell>
          <cell r="F322">
            <v>27</v>
          </cell>
          <cell r="G322" t="str">
            <v>R$ 43,05</v>
          </cell>
          <cell r="H322">
            <v>32.287499999999994</v>
          </cell>
          <cell r="I322">
            <v>871.76249999999982</v>
          </cell>
          <cell r="J322">
            <v>1067.6475337499996</v>
          </cell>
        </row>
        <row r="323">
          <cell r="B323">
            <v>91997</v>
          </cell>
          <cell r="C323" t="str">
            <v>SINAPI</v>
          </cell>
          <cell r="D323" t="str">
            <v>TOMADA MÉDIA DE EMBUTIR (1 MÓDULO), 2P+T 20 A, INCLUINDO SUPORTE E PLACA - FORNECIMENTO E INSTALAÇÃO. AF_03/2023</v>
          </cell>
          <cell r="E323" t="str">
            <v>UN</v>
          </cell>
          <cell r="F323">
            <v>2</v>
          </cell>
          <cell r="G323" t="str">
            <v>R$ 44,94</v>
          </cell>
          <cell r="H323">
            <v>33.704999999999998</v>
          </cell>
          <cell r="I323">
            <v>67.41</v>
          </cell>
          <cell r="J323">
            <v>82.557026999999991</v>
          </cell>
        </row>
        <row r="324">
          <cell r="B324">
            <v>92004</v>
          </cell>
          <cell r="C324" t="str">
            <v>SINAPI</v>
          </cell>
          <cell r="D324" t="str">
            <v>TOMADA MÉDIA DE EMBUTIR (2 MÓDULOS), 2P+T 10 A, INCLUINDO SUPORTE E PLACA - FORNECIMENTO E INSTALAÇÃO. AF_03/2023</v>
          </cell>
          <cell r="E324" t="str">
            <v>UN</v>
          </cell>
          <cell r="F324">
            <v>2</v>
          </cell>
          <cell r="G324" t="str">
            <v>R$ 68,41</v>
          </cell>
          <cell r="H324">
            <v>51.307499999999997</v>
          </cell>
          <cell r="I324">
            <v>102.61499999999999</v>
          </cell>
          <cell r="J324">
            <v>125.67259049999998</v>
          </cell>
        </row>
        <row r="325">
          <cell r="B325">
            <v>101632</v>
          </cell>
          <cell r="C325" t="str">
            <v>SINAPI</v>
          </cell>
          <cell r="D325" t="str">
            <v>RELÉ FOTOELÉTRICO PARA COMANDO DE ILUMINAÇÃO EXTERNA 1000 W
- FORNECIMENTO E INSTALAÇÃO. AF_08/2020</v>
          </cell>
          <cell r="E325" t="str">
            <v>UN</v>
          </cell>
          <cell r="F325">
            <v>5</v>
          </cell>
          <cell r="G325" t="str">
            <v>R$ 23,68</v>
          </cell>
          <cell r="H325">
            <v>17.759999999999998</v>
          </cell>
          <cell r="I325">
            <v>88.799999999999983</v>
          </cell>
          <cell r="J325">
            <v>108.75335999999997</v>
          </cell>
        </row>
        <row r="326">
          <cell r="B326">
            <v>97605</v>
          </cell>
          <cell r="C326" t="str">
            <v>SINAPI</v>
          </cell>
          <cell r="D326" t="str">
            <v>LUMINÁRIA ARANDELA TIPO MEIA LUA, DE SOBREPOR, COM 1 LÂMPADA LED DE 6 W, SEM REATOR - FORNECIMENTO E INSTALAÇÃO. AF_02/2020</v>
          </cell>
          <cell r="E326" t="str">
            <v>UN</v>
          </cell>
          <cell r="F326">
            <v>23</v>
          </cell>
          <cell r="G326" t="str">
            <v>R$ 63,92</v>
          </cell>
          <cell r="H326">
            <v>47.94</v>
          </cell>
          <cell r="I326">
            <v>1102.6199999999999</v>
          </cell>
          <cell r="J326">
            <v>1350.3787139999997</v>
          </cell>
        </row>
        <row r="327">
          <cell r="B327" t="str">
            <v>18.027.0518-0</v>
          </cell>
          <cell r="C327" t="str">
            <v>EMOP</v>
          </cell>
          <cell r="D327" t="str">
            <v>LUMINARIA LED TUBULAR DE EMBUTIR, 2X18W (INCLUSIVE LAMPADAS),CORPO EM CHAPA DE ACO TRATADA E PINTURA ELETROSTATICA BRANCA, REFLETOR EM ALUMINIO DE ALTO BRILHO, COM ALETAS, SEM REATOR. FORNECIMENTO E COLOCACAO</v>
          </cell>
          <cell r="E327" t="str">
            <v>UN</v>
          </cell>
          <cell r="F327">
            <v>84</v>
          </cell>
          <cell r="G327" t="str">
            <v>R$ 300,89</v>
          </cell>
          <cell r="H327">
            <v>225.66749999999999</v>
          </cell>
          <cell r="I327">
            <v>18956.07</v>
          </cell>
          <cell r="J327">
            <v>23215.488928999999</v>
          </cell>
        </row>
        <row r="328">
          <cell r="B328">
            <v>39390</v>
          </cell>
          <cell r="C328" t="str">
            <v>SINAPI</v>
          </cell>
          <cell r="D328" t="str">
            <v>LUMINARIA LED REFLETOR RETANGULAR BIVOLT, LUZ BRANCA, 30 W</v>
          </cell>
          <cell r="E328" t="str">
            <v>UN</v>
          </cell>
          <cell r="F328">
            <v>2</v>
          </cell>
          <cell r="G328" t="str">
            <v>R$ 20,64</v>
          </cell>
          <cell r="H328">
            <v>15.48</v>
          </cell>
          <cell r="I328">
            <v>30.96</v>
          </cell>
          <cell r="J328">
            <v>37.906711999999999</v>
          </cell>
        </row>
        <row r="329">
          <cell r="B329" t="str">
            <v>COMP. 18</v>
          </cell>
          <cell r="C329" t="str">
            <v>COMPOSIÇÃO</v>
          </cell>
          <cell r="D329" t="str">
            <v>LUMINÁRIA BALIZADOR SPOT LED DE 12 W, DE PISO, REDONDA INOX IP67
- FORNECIMENTO E INSTALAÇÃO</v>
          </cell>
          <cell r="E329" t="str">
            <v>UN</v>
          </cell>
          <cell r="F329">
            <v>6</v>
          </cell>
          <cell r="G329" t="str">
            <v>R$ 173,86</v>
          </cell>
          <cell r="H329">
            <v>130.39500000000001</v>
          </cell>
          <cell r="I329">
            <v>782.37000000000012</v>
          </cell>
          <cell r="J329">
            <v>958.16853900000001</v>
          </cell>
        </row>
        <row r="330">
          <cell r="B330" t="str">
            <v>COMP. 19</v>
          </cell>
          <cell r="C330" t="str">
            <v>COMPOSIÇÃO</v>
          </cell>
          <cell r="D330" t="str">
            <v>LUMINÁRIA PERFIL LED, EMBUTIR SLIM, COR CINZA 40MM, COM FITA LED - FORNECIMENTO E INSTALAÇÃO</v>
          </cell>
          <cell r="E330" t="str">
            <v>UN</v>
          </cell>
          <cell r="F330">
            <v>13</v>
          </cell>
          <cell r="G330" t="str">
            <v>R$ 167,36</v>
          </cell>
          <cell r="H330">
            <v>125.52000000000001</v>
          </cell>
          <cell r="I330">
            <v>1631.7600000000002</v>
          </cell>
          <cell r="J330">
            <v>1998.4164720000001</v>
          </cell>
        </row>
        <row r="331">
          <cell r="B331">
            <v>90447</v>
          </cell>
          <cell r="C331" t="str">
            <v>SINAPI</v>
          </cell>
          <cell r="D331" t="str">
            <v>RASGO LINEAR MANUAL EM ALVENARIA, PARA ELETRODUTOS, DIÂMETROS MENORES OU IGUAIS A 40 MM. AF_09/2023</v>
          </cell>
          <cell r="E331" t="str">
            <v>M</v>
          </cell>
          <cell r="F331">
            <v>84.5</v>
          </cell>
          <cell r="G331" t="str">
            <v>R$ 11,54</v>
          </cell>
          <cell r="H331">
            <v>8.6549999999999994</v>
          </cell>
          <cell r="I331">
            <v>731.34749999999997</v>
          </cell>
          <cell r="J331">
            <v>895.68028324999989</v>
          </cell>
        </row>
        <row r="332">
          <cell r="B332">
            <v>90456</v>
          </cell>
          <cell r="C332" t="str">
            <v>SINAPI</v>
          </cell>
          <cell r="D332" t="str">
            <v>QUEBRA EM ALVENARIA PARA INSTALAÇÃO DE CAIXA DE TOMADA (4X4 OU 4X2). AF_09/2023</v>
          </cell>
          <cell r="E332" t="str">
            <v>UN</v>
          </cell>
          <cell r="F332">
            <v>48</v>
          </cell>
          <cell r="G332" t="str">
            <v>R$ 7,65</v>
          </cell>
          <cell r="H332">
            <v>5.7375000000000007</v>
          </cell>
          <cell r="I332">
            <v>275.40000000000003</v>
          </cell>
          <cell r="J332">
            <v>337.28237999999999</v>
          </cell>
        </row>
        <row r="333">
          <cell r="B333">
            <v>90466</v>
          </cell>
          <cell r="C333" t="str">
            <v>SINAPI</v>
          </cell>
          <cell r="D333" t="str">
            <v>CHUMBAMENTO LINEAR EM ALVENARIA PARA RAMAIS/DISTRIBUIÇÃO DE INSTALAÇÕES HIDRÁULICAS COM DIÂMETROS MENORES OU IGUAIS A 40
MM. AF_09/2023</v>
          </cell>
          <cell r="E333" t="str">
            <v>M</v>
          </cell>
          <cell r="F333">
            <v>84.5</v>
          </cell>
          <cell r="G333" t="str">
            <v>R$ 20,14</v>
          </cell>
          <cell r="H333">
            <v>15.105</v>
          </cell>
          <cell r="I333">
            <v>1276.3724999999999</v>
          </cell>
          <cell r="J333">
            <v>1563.1734007499997</v>
          </cell>
        </row>
        <row r="334">
          <cell r="B334">
            <v>102137</v>
          </cell>
          <cell r="C334" t="str">
            <v>SINAPI</v>
          </cell>
          <cell r="D334" t="str">
            <v>CHAVE DE BOIA AUTOMÁTICA SUPERIOR/INFERIOR 15A/250V - FORNECIMENTO E INSTALAÇÃO. AF_12/2020</v>
          </cell>
          <cell r="E334" t="str">
            <v>UN</v>
          </cell>
          <cell r="F334">
            <v>2</v>
          </cell>
          <cell r="G334" t="str">
            <v>R$ 94,01</v>
          </cell>
          <cell r="H334">
            <v>70.507500000000007</v>
          </cell>
          <cell r="I334">
            <v>141.01500000000001</v>
          </cell>
          <cell r="J334">
            <v>172.70107050000001</v>
          </cell>
        </row>
        <row r="335">
          <cell r="B335" t="str">
            <v>COMP. 20</v>
          </cell>
          <cell r="C335" t="str">
            <v>COMPOSIÇÃO</v>
          </cell>
          <cell r="D335" t="str">
            <v>CAIXA PARA COMANDO DE DUAS BOMBAS DE RECALQUE 0,5 A 5CV, COM FORNECIMENTO E COLACAÇÃO</v>
          </cell>
          <cell r="E335" t="str">
            <v>UN</v>
          </cell>
          <cell r="F335">
            <v>1</v>
          </cell>
          <cell r="G335" t="str">
            <v>R$ 1.486,76</v>
          </cell>
          <cell r="H335">
            <v>1115.07</v>
          </cell>
          <cell r="I335">
            <v>1115.07</v>
          </cell>
          <cell r="J335">
            <v>1365.6262289999997</v>
          </cell>
        </row>
        <row r="336">
          <cell r="B336">
            <v>101795</v>
          </cell>
          <cell r="C336" t="str">
            <v>SINAPI</v>
          </cell>
          <cell r="D336" t="str">
            <v>CAIXA ENTERRADA PARA INSTALAÇÕES TELEFÔNICAS TIPO R1, EM ALVENARIA COM BLOCOS DE CONCRETO, DIMENSÕES INTERNAS: 0,35X0,60X0,60 M, EXCLUINDO TAMPÃO. AF_12/2020</v>
          </cell>
          <cell r="E336" t="str">
            <v>UN</v>
          </cell>
          <cell r="F336">
            <v>3</v>
          </cell>
          <cell r="G336" t="str">
            <v>R$ 674,67</v>
          </cell>
          <cell r="H336">
            <v>506.00249999999994</v>
          </cell>
          <cell r="I336">
            <v>1518.0074999999997</v>
          </cell>
          <cell r="J336">
            <v>1859.1037852499994</v>
          </cell>
        </row>
        <row r="337">
          <cell r="B337">
            <v>101798</v>
          </cell>
          <cell r="C337" t="str">
            <v>SINAPI</v>
          </cell>
          <cell r="D337" t="str">
            <v>TAMPA PARA CAIXA TIPO R1, EM FERRO FUNDIDO, DIMENSÕES INTERNAS: 0,40 X 0,60 M - FORNECIMENTO E INSTALAÇÃO. AF_12/2020</v>
          </cell>
          <cell r="E337" t="str">
            <v>UN</v>
          </cell>
          <cell r="F337">
            <v>3</v>
          </cell>
          <cell r="G337" t="str">
            <v>R$ 354,65</v>
          </cell>
          <cell r="H337">
            <v>265.98749999999995</v>
          </cell>
          <cell r="I337">
            <v>797.96249999999986</v>
          </cell>
          <cell r="J337">
            <v>977.2646737499997</v>
          </cell>
        </row>
        <row r="338">
          <cell r="D338" t="str">
            <v>COBERTURAS, ISOLAMENTOS E IMPERMEABILIZACAO</v>
          </cell>
          <cell r="I338">
            <v>56646.781424999994</v>
          </cell>
          <cell r="J338">
            <v>69375.313211197499</v>
          </cell>
        </row>
        <row r="339">
          <cell r="B339">
            <v>92543</v>
          </cell>
          <cell r="C339" t="str">
            <v>SINAPI</v>
          </cell>
          <cell r="D339" t="str">
            <v>TRAMA DE MADEIRA COMPOSTA POR TERÇAS PARA TELHADOS DE ATÉ 2 ÁGUAS PARA TELHA ONDULADA DE FIBROCIMENTO, METÁLICA, PLÁSTICA OU TERMOACÚSTICA, INCLUSO TRANSPORTE VERTICAL. AF_07/2019</v>
          </cell>
          <cell r="E339" t="str">
            <v>M2</v>
          </cell>
          <cell r="F339">
            <v>155</v>
          </cell>
          <cell r="G339" t="str">
            <v>R$ 28,97</v>
          </cell>
          <cell r="H339">
            <v>21.727499999999999</v>
          </cell>
          <cell r="I339">
            <v>3367.7624999999998</v>
          </cell>
          <cell r="J339">
            <v>4124.4987337499997</v>
          </cell>
        </row>
        <row r="340">
          <cell r="B340">
            <v>100384</v>
          </cell>
          <cell r="C340" t="str">
            <v>SINAPI</v>
          </cell>
          <cell r="D340" t="str">
            <v>FABRICAÇÃO E INSTALAÇÃO DE PONTALETES DE MADEIRA NÃO APARELHADA PARA TELHADOS COM ATÉ 2 ÁGUAS E COM TELHA ONDULADA DE FIBROCIMENTO, ALUMÍNIO OU PLÁSTICA EM EDIFÍCIO INSTITUCIONAL TÉRREO, INCLUSO TRANSPORTE VERTICAL. AF_07/2019</v>
          </cell>
          <cell r="E340" t="str">
            <v>M2</v>
          </cell>
          <cell r="F340">
            <v>155</v>
          </cell>
          <cell r="G340" t="str">
            <v>R$ 33,70</v>
          </cell>
          <cell r="H340">
            <v>25.275000000000002</v>
          </cell>
          <cell r="I340">
            <v>3917.6250000000005</v>
          </cell>
          <cell r="J340">
            <v>4797.9153375000005</v>
          </cell>
        </row>
        <row r="341">
          <cell r="B341">
            <v>94231</v>
          </cell>
          <cell r="C341" t="str">
            <v>SINAPI</v>
          </cell>
          <cell r="D341" t="str">
            <v>RUFO EM CHAPA DE AÇO GALVANIZADO NÚMERO 24, CORTE DE 25 CM, INCLUSO TRANSPORTE VERTICAL. AF_07/2019</v>
          </cell>
          <cell r="E341" t="str">
            <v>M</v>
          </cell>
          <cell r="F341">
            <v>64</v>
          </cell>
          <cell r="G341" t="str">
            <v>R$ 57,66</v>
          </cell>
          <cell r="H341">
            <v>43.244999999999997</v>
          </cell>
          <cell r="I341">
            <v>2767.68</v>
          </cell>
          <cell r="J341">
            <v>3389.5776959999994</v>
          </cell>
        </row>
        <row r="342">
          <cell r="B342">
            <v>94207</v>
          </cell>
          <cell r="C342" t="str">
            <v>SINAPI</v>
          </cell>
          <cell r="D342" t="str">
            <v>TELHAMENTO COM TELHA ONDULADA DE FIBROCIMENTO E = 6 MM, COM RECOBRIMENTO LATERAL DE 1/4 DE ONDA PARA TELHADO COM INCLINAÇÃO MAIOR QUE 10°, COM ATÉ 2 ÁGUAS, INCLUSO IÇAMENTO. AF_07/2019</v>
          </cell>
          <cell r="E342" t="str">
            <v>M2</v>
          </cell>
          <cell r="F342">
            <v>155</v>
          </cell>
          <cell r="G342" t="str">
            <v>R$ 53,13</v>
          </cell>
          <cell r="H342">
            <v>39.847500000000004</v>
          </cell>
          <cell r="I342">
            <v>6176.3625000000002</v>
          </cell>
          <cell r="J342">
            <v>7564.19115375</v>
          </cell>
        </row>
        <row r="343">
          <cell r="B343">
            <v>98556</v>
          </cell>
          <cell r="C343" t="str">
            <v>SINAPI</v>
          </cell>
          <cell r="D343" t="str">
            <v>IMPERMEABILIZIMPERMEABILIZAÇÃO DE SUPERFÍCIE COM ARGAMASSA POLIMÉRICA / MEMBRANA ACRÍLICA, 4 DEMÃOS, REFORÇADA COM VÉU DE POLIÉSTER (MAV). AF_09/2023</v>
          </cell>
          <cell r="E343" t="str">
            <v>M2</v>
          </cell>
          <cell r="F343">
            <v>31.31</v>
          </cell>
          <cell r="G343" t="str">
            <v>R$ 75,45</v>
          </cell>
          <cell r="H343">
            <v>56.587500000000006</v>
          </cell>
          <cell r="I343">
            <v>1771.754625</v>
          </cell>
          <cell r="J343">
            <v>2169.8678892374996</v>
          </cell>
        </row>
        <row r="344">
          <cell r="B344">
            <v>98557</v>
          </cell>
          <cell r="C344" t="str">
            <v>SINAPI</v>
          </cell>
          <cell r="D344" t="str">
            <v>IMPERMEABILIZAÇÃO DE SUPERFÍCIE COM EMULSÃO ASFÁLTICA, 2 DEMÃOS. AF_09/2023</v>
          </cell>
          <cell r="E344" t="str">
            <v>M2</v>
          </cell>
          <cell r="F344">
            <v>300.39999999999998</v>
          </cell>
          <cell r="G344" t="str">
            <v>R$ 58,01</v>
          </cell>
          <cell r="H344">
            <v>43.5075</v>
          </cell>
          <cell r="I344">
            <v>13069.652999999998</v>
          </cell>
          <cell r="J344">
            <v>16006.404029099996</v>
          </cell>
        </row>
        <row r="345">
          <cell r="B345">
            <v>98555</v>
          </cell>
          <cell r="C345" t="str">
            <v>SINAPI</v>
          </cell>
          <cell r="D345" t="str">
            <v>IMPERMEABILIZAÇÃO DE SUPERFÍCIE COM ARGAMASSA POLIMÉRICA / MEMBRANA ACRÍLICA, 3 DEMÃOS. AF_09/2023</v>
          </cell>
          <cell r="E345" t="str">
            <v>M2</v>
          </cell>
          <cell r="F345">
            <v>142.75</v>
          </cell>
          <cell r="G345" t="str">
            <v>R$ 41,88</v>
          </cell>
          <cell r="H345">
            <v>31.410000000000004</v>
          </cell>
          <cell r="I345">
            <v>4483.7775000000001</v>
          </cell>
          <cell r="J345">
            <v>5491.2823042499995</v>
          </cell>
        </row>
        <row r="346">
          <cell r="B346">
            <v>98547</v>
          </cell>
          <cell r="C346" t="str">
            <v>SINAPI</v>
          </cell>
          <cell r="D346" t="str">
            <v>IMPERMEABILIZAÇÃO DE SUPERFÍCIE COM MANTA ASFÁLTICA, DUAS CAMADAS, INCLUSIVE APLICAÇÃO DE PRIMER ASFÁLTICO, E=3MM E E=4MM. AF_09/2023</v>
          </cell>
          <cell r="E346" t="str">
            <v>M2</v>
          </cell>
          <cell r="F346">
            <v>84.62</v>
          </cell>
          <cell r="G346" t="str">
            <v>R$ 241,63</v>
          </cell>
          <cell r="H346">
            <v>181.2225</v>
          </cell>
          <cell r="I346">
            <v>15335.04795</v>
          </cell>
          <cell r="J346">
            <v>18780.833224365</v>
          </cell>
        </row>
        <row r="347">
          <cell r="B347">
            <v>98567</v>
          </cell>
          <cell r="C347" t="str">
            <v>SINAPI</v>
          </cell>
          <cell r="D347" t="str">
            <v>PROTEÇÃO MECÂNICA DE SUPERFICIE HORIZONTAL COM ARGAMASSA DE CIMENTO E AREIA, TRAÇO 1:3, E=4CM. AF_09/2023</v>
          </cell>
          <cell r="E347" t="str">
            <v>M2</v>
          </cell>
          <cell r="F347">
            <v>68</v>
          </cell>
          <cell r="G347" t="str">
            <v>R$ 83,02</v>
          </cell>
          <cell r="H347">
            <v>62.265000000000001</v>
          </cell>
          <cell r="I347">
            <v>4234.0200000000004</v>
          </cell>
          <cell r="J347">
            <v>5185.4042939999999</v>
          </cell>
        </row>
        <row r="348">
          <cell r="B348">
            <v>98570</v>
          </cell>
          <cell r="C348" t="str">
            <v>SINAPI</v>
          </cell>
          <cell r="D348" t="str">
            <v>PROTEÇÃO MECÂNICA DE SUPERFÍCIE VERTICAL COM ARGAMASSA DE CIMENTO E AREIA, TRAÇO 1:3, E=5CM. AF_09/2023</v>
          </cell>
          <cell r="E348" t="str">
            <v>M2</v>
          </cell>
          <cell r="F348">
            <v>16.62</v>
          </cell>
          <cell r="G348" t="str">
            <v>R$ 122,19</v>
          </cell>
          <cell r="H348">
            <v>91.642499999999998</v>
          </cell>
          <cell r="I348">
            <v>1523.09835</v>
          </cell>
          <cell r="J348">
            <v>1865.3385492449997</v>
          </cell>
        </row>
        <row r="349">
          <cell r="D349" t="str">
            <v>PINTURA</v>
          </cell>
          <cell r="I349">
            <v>32031.402450000001</v>
          </cell>
          <cell r="J349">
            <v>39228.838580515003</v>
          </cell>
        </row>
        <row r="350">
          <cell r="B350">
            <v>100717</v>
          </cell>
          <cell r="C350" t="str">
            <v>SINAPI</v>
          </cell>
          <cell r="D350" t="str">
            <v>LIXAMENTO MANUAL EM SUPERFÍCIES METÁLICAS EM OBRA. AF_01/2020</v>
          </cell>
          <cell r="E350" t="str">
            <v>M2</v>
          </cell>
          <cell r="F350">
            <v>34.96</v>
          </cell>
          <cell r="G350" t="str">
            <v>R$ 13,25</v>
          </cell>
          <cell r="H350">
            <v>9.9375</v>
          </cell>
          <cell r="I350">
            <v>347.41500000000002</v>
          </cell>
          <cell r="J350">
            <v>425.4791505</v>
          </cell>
        </row>
        <row r="351">
          <cell r="B351">
            <v>100720</v>
          </cell>
          <cell r="C351" t="str">
            <v>SINAPI</v>
          </cell>
          <cell r="D351" t="str">
            <v>PINTURA COM TINTA ALQUÍDICA DE FUNDO (TIPO ZARCÃO) APLICADA A ROLO OU PINCEL SOBRE PERFIL METÁLICO EXECUTADO EM FÁBRICA (POR DEMÃO). AF_01/2020</v>
          </cell>
          <cell r="E351" t="str">
            <v>M2</v>
          </cell>
          <cell r="F351">
            <v>34.96</v>
          </cell>
          <cell r="G351" t="str">
            <v>R$ 14,88</v>
          </cell>
          <cell r="H351">
            <v>11.16</v>
          </cell>
          <cell r="I351">
            <v>390.15360000000004</v>
          </cell>
          <cell r="J351">
            <v>477.82111392000002</v>
          </cell>
        </row>
        <row r="352">
          <cell r="B352">
            <v>100759</v>
          </cell>
          <cell r="C352" t="str">
            <v>SINAPI</v>
          </cell>
          <cell r="D352" t="str">
            <v>PINTURA COM TINTA ALQUÍDICA DE ACABAMENTO (ESMALTE SINTÉTICO BRILHANTE) PULVERIZADA SOBRE SUPERFÍCIES METÁLICAS (EXCETO PERFIL) EXECUTADO EM OBRA (02 DEMÃOS). AF_01/2020_PE</v>
          </cell>
          <cell r="E352" t="str">
            <v>M2</v>
          </cell>
          <cell r="F352">
            <v>34.96</v>
          </cell>
          <cell r="G352" t="str">
            <v>R$ 67,04</v>
          </cell>
          <cell r="H352">
            <v>50.28</v>
          </cell>
          <cell r="I352">
            <v>1757.7888</v>
          </cell>
          <cell r="J352">
            <v>2152.7639433599998</v>
          </cell>
        </row>
        <row r="353">
          <cell r="B353">
            <v>88497</v>
          </cell>
          <cell r="C353" t="str">
            <v>SINAPI</v>
          </cell>
          <cell r="D353" t="str">
            <v>EMASSAMENTO COM MASSA LÁTEX, APLICAÇÃO EM PAREDE, DUAS DEMÃOS, LIXAMENTO MANUAL. AF_04/2023</v>
          </cell>
          <cell r="E353" t="str">
            <v>M2</v>
          </cell>
          <cell r="F353">
            <v>565.23</v>
          </cell>
          <cell r="G353" t="str">
            <v>R$ 23,39</v>
          </cell>
          <cell r="H353">
            <v>17.5425</v>
          </cell>
          <cell r="I353">
            <v>9915.5472750000008</v>
          </cell>
          <cell r="J353">
            <v>12143.5607476925</v>
          </cell>
        </row>
        <row r="354">
          <cell r="B354">
            <v>88485</v>
          </cell>
          <cell r="C354" t="str">
            <v>SINAPI</v>
          </cell>
          <cell r="D354" t="str">
            <v>FUNDO SELADOR ACRÍLICO, APLICAÇÃO MANUAL EM PAREDE, UMA DEMÃO. AF_04/2023</v>
          </cell>
          <cell r="E354" t="str">
            <v>M2</v>
          </cell>
          <cell r="F354">
            <v>841.23</v>
          </cell>
          <cell r="G354" t="str">
            <v>R$ 5,64</v>
          </cell>
          <cell r="H354">
            <v>4.2299999999999995</v>
          </cell>
          <cell r="I354">
            <v>3558.4028999999996</v>
          </cell>
          <cell r="J354">
            <v>4357.9760316299989</v>
          </cell>
        </row>
        <row r="355">
          <cell r="B355">
            <v>88489</v>
          </cell>
          <cell r="C355" t="str">
            <v>SINAPI</v>
          </cell>
          <cell r="D355" t="str">
            <v>PINTURA LÁTEX ACRÍLICA PREMIUM, APLICAÇÃO MANUAL EM PAREDES, DUAS DEMÃOS. AF_04/2023</v>
          </cell>
          <cell r="E355" t="str">
            <v>M2</v>
          </cell>
          <cell r="F355">
            <v>565.23</v>
          </cell>
          <cell r="G355" t="str">
            <v>R$ 15,75</v>
          </cell>
          <cell r="H355">
            <v>11.8125</v>
          </cell>
          <cell r="I355">
            <v>6676.7793750000001</v>
          </cell>
          <cell r="J355">
            <v>8177.0517005624997</v>
          </cell>
        </row>
        <row r="356">
          <cell r="B356" t="str">
            <v>COMP. 21</v>
          </cell>
          <cell r="C356" t="str">
            <v>COMPOSIÇÃO</v>
          </cell>
          <cell r="D356" t="str">
            <v>TEXTURA ACRÍLICA, EFEITO GRANULADO, APLICAÇÃO MANUAL EM PAREDE, ÁREA EXTERNA (2 DEMÃOS)</v>
          </cell>
          <cell r="E356" t="str">
            <v>M2</v>
          </cell>
          <cell r="F356">
            <v>276</v>
          </cell>
          <cell r="G356" t="str">
            <v>R$ 31,00</v>
          </cell>
          <cell r="H356">
            <v>23.25</v>
          </cell>
          <cell r="I356">
            <v>6417</v>
          </cell>
          <cell r="J356">
            <v>7858.8998999999994</v>
          </cell>
        </row>
        <row r="357">
          <cell r="B357">
            <v>102507</v>
          </cell>
          <cell r="C357" t="str">
            <v>SINAPI</v>
          </cell>
          <cell r="D357" t="str">
            <v>PINTURA DE DEMARCAÇÃO DE VAGA COM TINTA EPÓXI, E = 10 CM, APLICAÇÃO MANUAL. AF_05/2021</v>
          </cell>
          <cell r="E357" t="str">
            <v>M</v>
          </cell>
          <cell r="F357">
            <v>30</v>
          </cell>
          <cell r="G357" t="str">
            <v>R$ 8,67</v>
          </cell>
          <cell r="H357">
            <v>6.5024999999999995</v>
          </cell>
          <cell r="I357">
            <v>195.07499999999999</v>
          </cell>
          <cell r="J357">
            <v>238.90835249999998</v>
          </cell>
        </row>
        <row r="358">
          <cell r="B358">
            <v>102491</v>
          </cell>
          <cell r="C358" t="str">
            <v>SINAPI</v>
          </cell>
          <cell r="D358" t="str">
            <v>PINTURA DE PISO COM TINTA ACRÍLICA, APLICAÇÃO MANUAL, 2 DEMÃOS, INCLUSO FUNDO PREPARADOR. AF_05/2021</v>
          </cell>
          <cell r="E358" t="str">
            <v>M2</v>
          </cell>
          <cell r="F358">
            <v>5.3</v>
          </cell>
          <cell r="G358" t="str">
            <v>R$ 26,38</v>
          </cell>
          <cell r="H358">
            <v>19.785</v>
          </cell>
          <cell r="I358">
            <v>104.8605</v>
          </cell>
          <cell r="J358">
            <v>128.41265435</v>
          </cell>
        </row>
        <row r="359">
          <cell r="B359" t="str">
            <v>17.014.0015-0</v>
          </cell>
          <cell r="C359" t="str">
            <v>EMOP</v>
          </cell>
          <cell r="D359" t="str">
            <v>PINTURA ELETROSTATICA SOBRE ESQUADRIA DE ALUMINIO</v>
          </cell>
          <cell r="E359" t="str">
            <v>KG</v>
          </cell>
          <cell r="F359">
            <v>323.44</v>
          </cell>
          <cell r="G359" t="str">
            <v>R$ 11,00</v>
          </cell>
          <cell r="H359">
            <v>8.25</v>
          </cell>
          <cell r="I359">
            <v>2668.38</v>
          </cell>
          <cell r="J359">
            <v>3267.964986</v>
          </cell>
        </row>
        <row r="360">
          <cell r="D360" t="str">
            <v>APARELHOS HIDRAULICOS,SANITARIOS, PEDRAS</v>
          </cell>
          <cell r="I360">
            <v>42408.614925000002</v>
          </cell>
          <cell r="J360">
            <v>51937.780698647497</v>
          </cell>
        </row>
        <row r="361">
          <cell r="B361">
            <v>86941</v>
          </cell>
          <cell r="C361" t="str">
            <v>SINAPI</v>
          </cell>
          <cell r="D361" t="str">
            <v>LAVATÓRIO LOUÇA BRANCA COM COLUNA, 45 X 55CM OU EQUIVALENTE, PADRÃO MÉDIO, INCLUSO SIFÃO TIPO GARRAFA, VÁLVULA E ENGATE FLEXÍVEL DE 40CM EM METAL CROMADO, COM TORNEIRA CROMADA DE MESA, PADRÃO MÉDIO - FORNECIMENTO E INSTALAÇÃO. AF_01/2020</v>
          </cell>
          <cell r="E361" t="str">
            <v>UN</v>
          </cell>
          <cell r="F361">
            <v>3</v>
          </cell>
          <cell r="G361" t="str">
            <v>R$ 905,35</v>
          </cell>
          <cell r="H361">
            <v>679.01250000000005</v>
          </cell>
          <cell r="I361">
            <v>2037.0375000000001</v>
          </cell>
          <cell r="J361">
            <v>2494.7598262500001</v>
          </cell>
        </row>
        <row r="362">
          <cell r="B362" t="str">
            <v>COMP. 22</v>
          </cell>
          <cell r="C362" t="str">
            <v>COMPOSIÇÃO</v>
          </cell>
          <cell r="D362" t="str">
            <v>LAVATORIO DE LOUCA BRANCA,COM COLUNA SUSPENSA,CONFORME ABNTNBR 9050 PARA ACESSIBILIDADE,MEDINDO EM TORNO DE (45,5X35,5)CM,INCLUSIVE ACESSORIOS DE FIXACAO.FERRAGENS EM METAL CROMADO:SIFAO 1"X1.1/4",VALVULA DE ESCOAMENTO,RABICHO,TORNEIRA PARA LAVATORIO DE MESA COM ALAVANCA,ACIONAMENTO MANUAL E FECHAMENTO AUTOMATICO.FORNECIMENTO E INSTALAÇÃO</v>
          </cell>
          <cell r="E362" t="str">
            <v>UN</v>
          </cell>
          <cell r="F362">
            <v>2</v>
          </cell>
          <cell r="G362" t="str">
            <v>R$ 1.199,89</v>
          </cell>
          <cell r="H362">
            <v>899.91750000000002</v>
          </cell>
          <cell r="I362">
            <v>1799.835</v>
          </cell>
          <cell r="J362">
            <v>2204.2479244999995</v>
          </cell>
        </row>
        <row r="363">
          <cell r="B363" t="str">
            <v>COMP. 23</v>
          </cell>
          <cell r="C363" t="str">
            <v>COMPOSIÇÃO</v>
          </cell>
          <cell r="D363" t="str">
            <v>CUBA SUSPENSA DE LAVATORIO DE LOUCA BRANCA, INSTALADA SOBRE BANCADA DE GRANITO,MEDINDO EM TORNO DE (30X40)CM, INCLUSIVE ACESSORIOS DE FIXACAO.FERRAGENS EM METAL CROMADO:SIFAO 1"X1.1/4",VALVULA DE ESCOAMENTO,RABICHO,TORNEIRA PARA LAVATORIO DE MESA. FORNECIMENTO E INSTALAÇÃO</v>
          </cell>
          <cell r="E363" t="str">
            <v>UN</v>
          </cell>
          <cell r="F363">
            <v>3</v>
          </cell>
          <cell r="G363" t="str">
            <v>R$ 806,20</v>
          </cell>
          <cell r="H363">
            <v>604.65000000000009</v>
          </cell>
          <cell r="I363">
            <v>1813.9500000000003</v>
          </cell>
          <cell r="J363">
            <v>2221.5445650000001</v>
          </cell>
        </row>
        <row r="364">
          <cell r="B364">
            <v>86922</v>
          </cell>
          <cell r="C364" t="str">
            <v>SINAPI</v>
          </cell>
          <cell r="D364" t="str">
            <v>TANQUE DE LOUÇA BRANCA SUSPENSO, 18L OU EQUIVALENTE, INCLUSO SIFÃO TIPO GARRAFA EM METAL CROMADO, VÁLVULA METÁLICA E TORNEIRA DE METAL CROMADO PADRÃO MÉDIO - FORNECIMENTO E INSTALAÇÃO. AF_01/2020</v>
          </cell>
          <cell r="E364" t="str">
            <v>UN</v>
          </cell>
          <cell r="F364">
            <v>1</v>
          </cell>
          <cell r="G364" t="str">
            <v>R$ 944,18</v>
          </cell>
          <cell r="H364">
            <v>708.13499999999999</v>
          </cell>
          <cell r="I364">
            <v>708.13499999999999</v>
          </cell>
          <cell r="J364">
            <v>867.25293449999992</v>
          </cell>
        </row>
        <row r="365">
          <cell r="B365">
            <v>86932</v>
          </cell>
          <cell r="C365" t="str">
            <v>SINAPI</v>
          </cell>
          <cell r="D365" t="str">
            <v>VASO SANITÁRIO SIFONADO COM CAIXA ACOPLADA LOUÇA BRANCA - PADRÃO MÉDIO, INCLUSO ENGATE FLEXÍVEL EM METAL CROMADO, 1/2  X 40CM - FORNECIMENTO E INSTALAÇÃO. AF_01/2020</v>
          </cell>
          <cell r="E365" t="str">
            <v>UN</v>
          </cell>
          <cell r="F365">
            <v>6</v>
          </cell>
          <cell r="G365" t="str">
            <v>R$ 596,82</v>
          </cell>
          <cell r="H365">
            <v>447.61500000000001</v>
          </cell>
          <cell r="I365">
            <v>2685.69</v>
          </cell>
          <cell r="J365">
            <v>3289.1545429999996</v>
          </cell>
        </row>
        <row r="366">
          <cell r="B366">
            <v>100849</v>
          </cell>
          <cell r="C366" t="str">
            <v>SINAPI</v>
          </cell>
          <cell r="D366" t="str">
            <v>ASSENTO SANITÁRIO CONVENCIONAL - FORNECIMENTO E INSTALACAO. AF_01/2020</v>
          </cell>
          <cell r="E366" t="str">
            <v>UN</v>
          </cell>
          <cell r="F366">
            <v>8</v>
          </cell>
          <cell r="G366" t="str">
            <v>R$ 46,43</v>
          </cell>
          <cell r="H366">
            <v>34.822499999999998</v>
          </cell>
          <cell r="I366">
            <v>278.58</v>
          </cell>
          <cell r="J366">
            <v>341.17692599999998</v>
          </cell>
        </row>
        <row r="367">
          <cell r="B367" t="str">
            <v>COMP. 24</v>
          </cell>
          <cell r="C367" t="str">
            <v>COMPOSIÇÃO</v>
          </cell>
          <cell r="D367" t="str">
            <v>BACIA SANITARIA DE LOUCA BRANCA,COM CAIXA ACOPLADA,CONFORMEABNT NBR 9050 PARA ACESSIBILIDADE, PADRAO MEDIO LUXO,RABICHO CROMADO,ANEL DE VEDACAO E ACESSORIOS DE FIXACAO.FORNECIMENTO E INSTALAÇÃO</v>
          </cell>
          <cell r="E367" t="str">
            <v>UN</v>
          </cell>
          <cell r="F367">
            <v>2</v>
          </cell>
          <cell r="G367" t="str">
            <v>R$ 1.100,70</v>
          </cell>
          <cell r="H367">
            <v>825.52500000000009</v>
          </cell>
          <cell r="I367">
            <v>1651.0500000000002</v>
          </cell>
          <cell r="J367">
            <v>2022.040935</v>
          </cell>
        </row>
        <row r="368">
          <cell r="B368">
            <v>38190</v>
          </cell>
          <cell r="C368" t="str">
            <v>SINAPI</v>
          </cell>
          <cell r="D368" t="str">
            <v>DUCHA / CHUVEIRO METALICO, DE PAREDE, ARTICULAVEL, COM DESVIADOR E DUCHA MANUAL</v>
          </cell>
          <cell r="E368" t="str">
            <v>UN</v>
          </cell>
          <cell r="F368">
            <v>8</v>
          </cell>
          <cell r="G368" t="str">
            <v>R$ 370,87</v>
          </cell>
          <cell r="H368">
            <v>278.15250000000003</v>
          </cell>
          <cell r="I368">
            <v>2225.2200000000003</v>
          </cell>
          <cell r="J368">
            <v>2725.2269340000003</v>
          </cell>
        </row>
        <row r="369">
          <cell r="B369">
            <v>86910</v>
          </cell>
          <cell r="C369" t="str">
            <v>SINAPI</v>
          </cell>
          <cell r="D369" t="str">
            <v>TORNEIRA CROMADA TUBO MÓVEL, DE PAREDE, 1/2”   OU 3/4” , PARA PIA DE COZINHA, PADRÃO MÉDIO - FORNECIMENTO E INSTALAÇÃO. AF_01/2020</v>
          </cell>
          <cell r="E369" t="str">
            <v>UN</v>
          </cell>
          <cell r="F369">
            <v>1</v>
          </cell>
          <cell r="G369">
            <v>131.96</v>
          </cell>
          <cell r="H369">
            <v>98.97</v>
          </cell>
          <cell r="I369">
            <v>98.97</v>
          </cell>
          <cell r="J369">
            <v>121.20855899999999</v>
          </cell>
        </row>
        <row r="370">
          <cell r="B370">
            <v>86914</v>
          </cell>
          <cell r="C370" t="str">
            <v>SINAPI</v>
          </cell>
          <cell r="D370" t="str">
            <v>TORNEIRA CROMADA 1/2”   OU 3/4”   PARA TANQUE, PADRÃO MÉDIO - FORNECIMENTO E INSTALAÇÃO. AF_01/2020</v>
          </cell>
          <cell r="E370" t="str">
            <v>UN</v>
          </cell>
          <cell r="F370">
            <v>1</v>
          </cell>
          <cell r="G370">
            <v>102.39</v>
          </cell>
          <cell r="H370">
            <v>76.792500000000004</v>
          </cell>
          <cell r="I370">
            <v>76.792500000000004</v>
          </cell>
          <cell r="J370">
            <v>94.047774750000002</v>
          </cell>
        </row>
        <row r="371">
          <cell r="B371">
            <v>86936</v>
          </cell>
          <cell r="C371" t="str">
            <v>SINAPI</v>
          </cell>
          <cell r="D371" t="str">
            <v>CUBA DE EMBUTIR DE AÇO INOXIDÁVEL MÉDIA, INCLUSO VÁLVULA TIPO AMERICANA E SIFÃO TIPO GARRAFA EM METAL CROMADO - FORNECIMENTO E INSTALAÇÃO. AF_01/2020</v>
          </cell>
          <cell r="E371" t="str">
            <v>UN</v>
          </cell>
          <cell r="F371">
            <v>1</v>
          </cell>
          <cell r="G371">
            <v>522.49</v>
          </cell>
          <cell r="H371">
            <v>391.86750000000001</v>
          </cell>
          <cell r="I371">
            <v>391.86750000000001</v>
          </cell>
          <cell r="J371">
            <v>479.92012724999995</v>
          </cell>
        </row>
        <row r="372">
          <cell r="B372">
            <v>100868</v>
          </cell>
          <cell r="C372" t="str">
            <v>SINAPI</v>
          </cell>
          <cell r="D372" t="str">
            <v>BARRA DE APOIO RETA, EM ACO INOX POLIDO, COMPRIMENTO 80 CM, FIXADA NA PAREDE - FORNECIMENTO E INSTALAÇÃO. AF_01/2020</v>
          </cell>
          <cell r="E372" t="str">
            <v>UN</v>
          </cell>
          <cell r="F372">
            <v>6</v>
          </cell>
          <cell r="G372">
            <v>300.01</v>
          </cell>
          <cell r="H372">
            <v>225.00749999999999</v>
          </cell>
          <cell r="I372">
            <v>1350.0450000000001</v>
          </cell>
          <cell r="J372">
            <v>1653.4001114999999</v>
          </cell>
        </row>
        <row r="373">
          <cell r="B373">
            <v>100865</v>
          </cell>
          <cell r="C373" t="str">
            <v>SINAPI</v>
          </cell>
          <cell r="D373" t="str">
            <v>BARRA DE APOIO LATERAL ARTICULADA, COM TRAVA, EM ACO INOX POLIDO, FIXADA NA PAREDE - FORNECIMENTO E INSTALAÇÃO. AF_01/2020</v>
          </cell>
          <cell r="E373" t="str">
            <v>UN</v>
          </cell>
          <cell r="F373">
            <v>4</v>
          </cell>
          <cell r="G373" t="str">
            <v>R$ 405,82</v>
          </cell>
          <cell r="H373">
            <v>304.36500000000001</v>
          </cell>
          <cell r="I373">
            <v>1217.46</v>
          </cell>
          <cell r="J373">
            <v>1491.0232619999999</v>
          </cell>
        </row>
        <row r="374">
          <cell r="B374">
            <v>100874</v>
          </cell>
          <cell r="C374" t="str">
            <v>SINAPI</v>
          </cell>
          <cell r="D374" t="str">
            <v>PUXADOR PARA PCD, FIXADO NA PORTA - FORNECIMENTO E INSTALAÇÃO. AF_01/2020</v>
          </cell>
          <cell r="E374" t="str">
            <v>UN</v>
          </cell>
          <cell r="F374">
            <v>4</v>
          </cell>
          <cell r="G374" t="str">
            <v>R$ 281,34</v>
          </cell>
          <cell r="H374">
            <v>211.005</v>
          </cell>
          <cell r="I374">
            <v>844.02</v>
          </cell>
          <cell r="J374">
            <v>1033.671294</v>
          </cell>
        </row>
        <row r="375">
          <cell r="B375">
            <v>102607</v>
          </cell>
          <cell r="C375" t="str">
            <v>SINAPI</v>
          </cell>
          <cell r="D375" t="str">
            <v>CAIXA D´ÁGUA EM POLIETILENO, 1000 LITROS - FORNECIMENTO E INSTALAÇÃO. AF_06/2021</v>
          </cell>
          <cell r="E375" t="str">
            <v>UN</v>
          </cell>
          <cell r="F375">
            <v>2</v>
          </cell>
          <cell r="G375" t="str">
            <v>R$ 449,63</v>
          </cell>
          <cell r="H375">
            <v>337.22249999999997</v>
          </cell>
          <cell r="I375">
            <v>674.44499999999994</v>
          </cell>
          <cell r="J375">
            <v>825.99279149999984</v>
          </cell>
        </row>
        <row r="376">
          <cell r="B376" t="str">
            <v>18.025.0001-0</v>
          </cell>
          <cell r="C376" t="str">
            <v>EMOP</v>
          </cell>
          <cell r="D376" t="str">
            <v>BEBEDOURO PURIFICADOR,DE COLUNA,COM ACESSIBILIDADE,CONFORMEABNT NBR 9050,EM ACO INOXIDAVEL,MODELO PRESSAO,COM 2 TORNEIRAS,VAZAO MINIMA DE 30L/H,CONFORME ABNT NBR 16236.FORNECIMENTO</v>
          </cell>
          <cell r="E376" t="str">
            <v>UN</v>
          </cell>
          <cell r="F376">
            <v>1</v>
          </cell>
          <cell r="G376" t="str">
            <v>R$ 890,23</v>
          </cell>
          <cell r="H376">
            <v>667.67250000000001</v>
          </cell>
          <cell r="I376">
            <v>667.67250000000001</v>
          </cell>
          <cell r="J376">
            <v>817.68851074999998</v>
          </cell>
        </row>
        <row r="377">
          <cell r="B377">
            <v>102111</v>
          </cell>
          <cell r="C377" t="str">
            <v>SINAPI</v>
          </cell>
          <cell r="D377" t="str">
            <v>BOMBA CENTRÍFUGA, MONOFÁSICA, 0,5 CV OU 0,49 HP, HM 6 A 20 M, Q 1,2 A 8,3 M3/H - FORNECIMENTO E INSTALAÇÃO. AF_12/2020</v>
          </cell>
          <cell r="E377" t="str">
            <v>UN</v>
          </cell>
          <cell r="F377">
            <v>2</v>
          </cell>
          <cell r="G377" t="str">
            <v>R$ 947,40</v>
          </cell>
          <cell r="H377">
            <v>710.55</v>
          </cell>
          <cell r="I377">
            <v>1421.1</v>
          </cell>
          <cell r="J377">
            <v>1740.4111699999999</v>
          </cell>
        </row>
        <row r="378">
          <cell r="B378" t="str">
            <v>COMP. 25</v>
          </cell>
          <cell r="C378" t="str">
            <v>COMPOSIÇÃO</v>
          </cell>
          <cell r="D378" t="str">
            <v>TAMPO DE BANCADA/BALCÃO DE GRANITO BRANCO ITAÚNAS - FORNECIMENTO E INSTALAÇÃO</v>
          </cell>
          <cell r="E378" t="str">
            <v>M2</v>
          </cell>
          <cell r="F378">
            <v>7.2</v>
          </cell>
          <cell r="G378" t="str">
            <v>R$ 1.420,05</v>
          </cell>
          <cell r="H378">
            <v>1065.0374999999999</v>
          </cell>
          <cell r="I378">
            <v>7668.2699999999995</v>
          </cell>
          <cell r="J378">
            <v>9391.320268999998</v>
          </cell>
        </row>
        <row r="379">
          <cell r="B379" t="str">
            <v>05.100.0900-0</v>
          </cell>
          <cell r="C379" t="str">
            <v>COMPOSIÇÃO</v>
          </cell>
          <cell r="D379" t="str">
            <v>RODAPÉ EM GRANITO, APLICADO COM ARGAMASSA, POLIDO, E=2,0CM</v>
          </cell>
          <cell r="E379" t="str">
            <v>M2</v>
          </cell>
          <cell r="F379">
            <v>18.53</v>
          </cell>
          <cell r="G379" t="str">
            <v>R$ 1.064,83</v>
          </cell>
          <cell r="H379">
            <v>798.62249999999995</v>
          </cell>
          <cell r="I379">
            <v>14798.474925</v>
          </cell>
          <cell r="J379">
            <v>18123.692240647499</v>
          </cell>
        </row>
        <row r="380">
          <cell r="D380" t="str">
            <v>INSTALAÇÕES DE INCÊNDIO E PÂNICO</v>
          </cell>
          <cell r="I380">
            <v>4409.6175000000003</v>
          </cell>
          <cell r="J380">
            <v>5400.4285522499995</v>
          </cell>
        </row>
        <row r="381">
          <cell r="B381">
            <v>101905</v>
          </cell>
          <cell r="C381" t="str">
            <v>SINAPI</v>
          </cell>
          <cell r="D381" t="str">
            <v>EXTINTOR DE INCÊNDIO PORTÁTIL COM CARGA DE ÁGUA PRESSURIZADA DE 10 L, CLASSE A - FORNECIMENTO E INSTALAÇÃO. AF_10/2020_PE</v>
          </cell>
          <cell r="E381" t="str">
            <v>UN</v>
          </cell>
          <cell r="F381">
            <v>1</v>
          </cell>
          <cell r="G381" t="str">
            <v>R$ 283,30</v>
          </cell>
          <cell r="H381">
            <v>212.47500000000002</v>
          </cell>
          <cell r="I381">
            <v>212.47500000000002</v>
          </cell>
          <cell r="J381">
            <v>260.21813250000002</v>
          </cell>
        </row>
        <row r="382">
          <cell r="B382">
            <v>101907</v>
          </cell>
          <cell r="C382" t="str">
            <v>SINAPI</v>
          </cell>
          <cell r="D382" t="str">
            <v>EXTINTOR DE INCÊNDIO PORTÁTIL COM CARGA DE CO2 DE 6 KG, CLASSE BC - FORNECIMENTO E INSTALAÇÃO. AF_10/2020_PE</v>
          </cell>
          <cell r="E382" t="str">
            <v>UN</v>
          </cell>
          <cell r="F382">
            <v>3</v>
          </cell>
          <cell r="G382" t="str">
            <v>R$ 888,93</v>
          </cell>
          <cell r="H382">
            <v>666.69749999999999</v>
          </cell>
          <cell r="I382">
            <v>2000.0925</v>
          </cell>
          <cell r="J382">
            <v>2449.5032847499997</v>
          </cell>
        </row>
        <row r="383">
          <cell r="B383">
            <v>101909</v>
          </cell>
          <cell r="C383" t="str">
            <v>SINAPI</v>
          </cell>
          <cell r="D383" t="str">
            <v>EXTINTOR DE INCÊNDIO PORTÁTIL COM CARGA DE PQS DE 6 KG, CLASSE BC - FORNECIMENTO E INSTALAÇÃO. AF_10/2020_PE</v>
          </cell>
          <cell r="E383" t="str">
            <v>UN</v>
          </cell>
          <cell r="F383">
            <v>3</v>
          </cell>
          <cell r="G383" t="str">
            <v>R$ 318,93</v>
          </cell>
          <cell r="H383">
            <v>239.19749999999999</v>
          </cell>
          <cell r="I383">
            <v>717.59249999999997</v>
          </cell>
          <cell r="J383">
            <v>878.82553474999986</v>
          </cell>
        </row>
        <row r="384">
          <cell r="B384" t="str">
            <v>17.040.0050-0</v>
          </cell>
          <cell r="C384" t="str">
            <v>EMOP</v>
          </cell>
          <cell r="D384" t="str">
            <v>PINTURA DE SINALIZACAO DE SOLO PARA EQUIPAMENTOS DE COMBATEA INCENDIO (EXTINTORES E HIDRANTES),EM QUADRADOS VERMELHOS DE (0,70X0,70)M E BORDAS AMARELAS DE 0,15M DE LARGURA,CONFORME ABNT NBR 16820</v>
          </cell>
          <cell r="E384" t="str">
            <v>UN</v>
          </cell>
          <cell r="F384">
            <v>7</v>
          </cell>
          <cell r="G384" t="str">
            <v>R$ 43,88</v>
          </cell>
          <cell r="H384">
            <v>32.910000000000004</v>
          </cell>
          <cell r="I384">
            <v>230.37000000000003</v>
          </cell>
          <cell r="J384">
            <v>282.12413900000001</v>
          </cell>
        </row>
        <row r="385">
          <cell r="B385">
            <v>38774</v>
          </cell>
          <cell r="C385" t="str">
            <v>SINAPI</v>
          </cell>
          <cell r="D385" t="str">
            <v>LUMINARIA DE EMERGENCIA 30 LEDS, POTENCIA 2 W, BATERIA DE LITIO, AUTONOMIA DE 6 HORAS</v>
          </cell>
          <cell r="E385" t="str">
            <v>UN</v>
          </cell>
          <cell r="F385">
            <v>24</v>
          </cell>
          <cell r="G385" t="str">
            <v>R$ 9,92</v>
          </cell>
          <cell r="H385">
            <v>7.4399999999999995</v>
          </cell>
          <cell r="I385">
            <v>178.56</v>
          </cell>
          <cell r="J385">
            <v>218.68243199999998</v>
          </cell>
        </row>
        <row r="386">
          <cell r="B386">
            <v>37539</v>
          </cell>
          <cell r="C386" t="str">
            <v>SINAPI</v>
          </cell>
          <cell r="D386" t="str">
            <v>PLACA DE SINALIZACAO DE SEGURANCA CONTRA INCENDIO, FOTOLUMINESCENTE, RETANGULAR, *13 X 26* CM, EM PVC *2* MM ANTI- CHAMAS (SIMBOLOS, CORES E PICTOGRAMAS CONFORME NBR 16820)</v>
          </cell>
          <cell r="E386" t="str">
            <v>UN</v>
          </cell>
          <cell r="F386">
            <v>49</v>
          </cell>
          <cell r="G386" t="str">
            <v>R$ 25,00</v>
          </cell>
          <cell r="H386">
            <v>18.75</v>
          </cell>
          <cell r="I386">
            <v>918.75</v>
          </cell>
          <cell r="J386">
            <v>1125.193125</v>
          </cell>
        </row>
        <row r="387">
          <cell r="B387">
            <v>37556</v>
          </cell>
          <cell r="C387" t="str">
            <v>SINAPI</v>
          </cell>
          <cell r="D387" t="str">
            <v>PLACA DE SINALIZACAO DE SEGURANCA CONTRA INCENDIO, FOTOLUMINESCENTE, QUADRADA, *20 X 20* CM, EM PVC *2* MM ANTI- CHAMAS (SIMBOLOS, CORES E PICTOGRAMAS CONFORME NBR 16820)</v>
          </cell>
          <cell r="E387" t="str">
            <v>UN</v>
          </cell>
          <cell r="F387">
            <v>7</v>
          </cell>
          <cell r="G387" t="str">
            <v>R$ 28,91</v>
          </cell>
          <cell r="H387">
            <v>21.682500000000001</v>
          </cell>
          <cell r="I387">
            <v>151.7775</v>
          </cell>
          <cell r="J387">
            <v>185.88190424999999</v>
          </cell>
        </row>
        <row r="388">
          <cell r="G388" t="str">
            <v>Valor total</v>
          </cell>
          <cell r="H388" t="str">
            <v>Valor Total</v>
          </cell>
          <cell r="I388">
            <v>1366473.2122499999</v>
          </cell>
          <cell r="J388">
            <v>1673519.2420425748</v>
          </cell>
        </row>
        <row r="390">
          <cell r="J390">
            <v>1673519.2424999999</v>
          </cell>
        </row>
        <row r="392">
          <cell r="J392">
            <v>-4.5742513611912727E-4</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TALOGO"/>
      <sheetName val="EMOPABRIL09"/>
      <sheetName val="Composição"/>
      <sheetName val="Especificações Técnicas TRAV."/>
      <sheetName val="ORÇAMENTO TRAV. RAMOS"/>
      <sheetName val="MEMÓRIA TRAV. RAMOS"/>
      <sheetName val="MEMÓRIA ESC. TRAV."/>
      <sheetName val="Crono TRAV."/>
      <sheetName val="Módulo2"/>
      <sheetName val="Módulo1"/>
      <sheetName val="Especificações Técnicas"/>
      <sheetName val="ORC-01"/>
      <sheetName val="MEMGAP-Circ"/>
      <sheetName val="Mem-Escav-circ"/>
      <sheetName val="Crono"/>
      <sheetName val="#ref"/>
      <sheetName val="planilha atualiza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mop1208"/>
      <sheetName val="Especificações Técnicas TRAV."/>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dosEmopmod"/>
      <sheetName val="PLANILHA ATUALIZADA"/>
      <sheetName val="#REF"/>
      <sheetName val="Emop1208"/>
    </sheetNames>
    <sheetDataSet>
      <sheetData sheetId="0"/>
      <sheetData sheetId="1"/>
      <sheetData sheetId="2"/>
      <sheetData sheetId="3" refreshError="1"/>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C711-A440-419C-9A23-B10FBE3ED200}">
  <sheetPr>
    <pageSetUpPr fitToPage="1"/>
  </sheetPr>
  <dimension ref="A1:O3"/>
  <sheetViews>
    <sheetView tabSelected="1" zoomScale="90" zoomScaleNormal="90" workbookViewId="0">
      <selection activeCell="F3" sqref="F3"/>
    </sheetView>
  </sheetViews>
  <sheetFormatPr defaultRowHeight="14.25"/>
  <cols>
    <col min="1" max="1" width="21.75" customWidth="1"/>
    <col min="2" max="3" width="28.625" customWidth="1"/>
    <col min="4" max="9" width="13.75" customWidth="1"/>
    <col min="10" max="10" width="17.625" customWidth="1"/>
    <col min="11" max="11" width="14.375" bestFit="1" customWidth="1"/>
    <col min="12" max="13" width="13.75" customWidth="1"/>
    <col min="14" max="14" width="12.375" customWidth="1"/>
    <col min="15" max="15" width="13.875" customWidth="1"/>
  </cols>
  <sheetData>
    <row r="1" spans="1:15" ht="32.1" customHeight="1" thickBot="1">
      <c r="A1" s="11" t="s">
        <v>0</v>
      </c>
      <c r="B1" s="12"/>
      <c r="C1" s="12"/>
      <c r="D1" s="12"/>
      <c r="E1" s="12"/>
      <c r="F1" s="12"/>
      <c r="G1" s="12"/>
      <c r="H1" s="12"/>
      <c r="I1" s="12"/>
      <c r="J1" s="12"/>
      <c r="K1" s="12"/>
      <c r="L1" s="12"/>
      <c r="M1" s="12"/>
      <c r="N1" s="12"/>
      <c r="O1" s="13"/>
    </row>
    <row r="2" spans="1:15" ht="62.1" customHeight="1" thickBot="1">
      <c r="A2" s="2" t="s">
        <v>1</v>
      </c>
      <c r="B2" s="2" t="s">
        <v>2</v>
      </c>
      <c r="C2" s="2" t="s">
        <v>10</v>
      </c>
      <c r="D2" s="2" t="s">
        <v>3</v>
      </c>
      <c r="E2" s="2" t="s">
        <v>4</v>
      </c>
      <c r="F2" s="2" t="s">
        <v>13</v>
      </c>
      <c r="G2" s="2" t="s">
        <v>5</v>
      </c>
      <c r="H2" s="2" t="s">
        <v>12</v>
      </c>
      <c r="I2" s="2" t="s">
        <v>6</v>
      </c>
      <c r="J2" s="2" t="s">
        <v>7</v>
      </c>
      <c r="K2" s="1" t="s">
        <v>16</v>
      </c>
      <c r="L2" s="1" t="s">
        <v>11</v>
      </c>
      <c r="M2" s="1" t="s">
        <v>9</v>
      </c>
      <c r="N2" s="1" t="s">
        <v>14</v>
      </c>
      <c r="O2" s="1" t="s">
        <v>15</v>
      </c>
    </row>
    <row r="3" spans="1:15" ht="120" customHeight="1" thickBot="1">
      <c r="A3" s="3" t="s">
        <v>17</v>
      </c>
      <c r="B3" s="3" t="s">
        <v>18</v>
      </c>
      <c r="C3" s="3" t="s">
        <v>19</v>
      </c>
      <c r="D3" s="4">
        <v>46141</v>
      </c>
      <c r="E3" s="9" t="s">
        <v>22</v>
      </c>
      <c r="F3" s="10" t="s">
        <v>23</v>
      </c>
      <c r="G3" s="5">
        <f>H3/K3</f>
        <v>0.12150365238704995</v>
      </c>
      <c r="H3" s="6">
        <v>203338.7</v>
      </c>
      <c r="I3" s="3" t="s">
        <v>8</v>
      </c>
      <c r="J3" s="4">
        <v>46506</v>
      </c>
      <c r="K3" s="6">
        <v>1673519.24</v>
      </c>
      <c r="L3" s="8" t="s">
        <v>21</v>
      </c>
      <c r="M3" s="7" t="s">
        <v>20</v>
      </c>
      <c r="N3" s="7" t="s">
        <v>20</v>
      </c>
      <c r="O3" s="6">
        <f>K3</f>
        <v>1673519.24</v>
      </c>
    </row>
  </sheetData>
  <mergeCells count="1">
    <mergeCell ref="A1:O1"/>
  </mergeCells>
  <hyperlinks>
    <hyperlink ref="L3" location="'Proposta Marenge - S.P Aldeia'!A1" display="'Proposta Marenge - S.P Aldeia'!A1" xr:uid="{7C880397-E5D6-4021-9193-F4B2D54C6D2D}"/>
    <hyperlink ref="F3" location="'1ª Medição - Marenge'!A1" display="'1ª Medição - Marenge'!A1" xr:uid="{E0D36176-946D-4025-8AD0-DA87C9D201D2}"/>
  </hyperlinks>
  <pageMargins left="0.511811024" right="0.511811024" top="0.78740157499999996" bottom="0.78740157499999996" header="0.31496062000000002" footer="0.31496062000000002"/>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204C-B5DF-4F90-870D-6D60C3818933}">
  <dimension ref="A1"/>
  <sheetViews>
    <sheetView topLeftCell="A19" workbookViewId="0"/>
  </sheetViews>
  <sheetFormatPr defaultRowHeight="14.25"/>
  <sheetData/>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DEEA-FAE8-4BE6-9FCA-30B9C43F795C}">
  <sheetPr>
    <pageSetUpPr fitToPage="1"/>
  </sheetPr>
  <dimension ref="A1:AB366"/>
  <sheetViews>
    <sheetView topLeftCell="F1" zoomScale="58" zoomScaleNormal="58" workbookViewId="0">
      <selection activeCell="V10" sqref="V10:V363"/>
    </sheetView>
  </sheetViews>
  <sheetFormatPr defaultRowHeight="14.25"/>
  <cols>
    <col min="1" max="1" width="11.5" style="14" customWidth="1"/>
    <col min="2" max="2" width="16.875" style="14" hidden="1" customWidth="1"/>
    <col min="3" max="3" width="15.75" style="14" customWidth="1"/>
    <col min="4" max="4" width="21.625" style="14" customWidth="1"/>
    <col min="5" max="5" width="9" style="17"/>
    <col min="6" max="6" width="13.625" style="17" customWidth="1"/>
    <col min="7" max="7" width="12.125" style="17" bestFit="1" customWidth="1"/>
    <col min="8" max="8" width="87.75" style="20" customWidth="1"/>
    <col min="9" max="9" width="9.75" style="17" customWidth="1"/>
    <col min="10" max="10" width="15.875" style="19" customWidth="1"/>
    <col min="11" max="11" width="17" style="18" customWidth="1"/>
    <col min="12" max="12" width="17.875" style="17" bestFit="1" customWidth="1"/>
    <col min="13" max="13" width="19" style="17" customWidth="1"/>
    <col min="14" max="14" width="14.75" style="17" customWidth="1"/>
    <col min="15" max="15" width="19.75" style="17" customWidth="1"/>
    <col min="16" max="16" width="7.875" style="16" hidden="1" customWidth="1"/>
    <col min="17" max="17" width="12.5" style="15" hidden="1" customWidth="1"/>
    <col min="18" max="18" width="13.875" style="15" hidden="1" customWidth="1"/>
    <col min="19" max="19" width="15" style="15" hidden="1" customWidth="1"/>
    <col min="20" max="20" width="20" style="14" customWidth="1"/>
    <col min="21" max="21" width="19.875" style="14" customWidth="1"/>
    <col min="22" max="22" width="16.375" style="14" customWidth="1"/>
    <col min="23" max="23" width="20.125" style="14" customWidth="1"/>
    <col min="24" max="24" width="19.875" style="14" customWidth="1"/>
    <col min="25" max="25" width="16.375" style="14" customWidth="1"/>
    <col min="26" max="27" width="19.875" style="14" customWidth="1"/>
    <col min="28" max="28" width="16.375" style="14" customWidth="1"/>
    <col min="29" max="16384" width="9" style="14"/>
  </cols>
  <sheetData>
    <row r="1" spans="1:28" ht="15" thickBot="1">
      <c r="K1" s="17">
        <v>1.2246999999999999</v>
      </c>
      <c r="L1" s="18"/>
      <c r="T1" s="14">
        <v>0.11128246873694426</v>
      </c>
    </row>
    <row r="2" spans="1:28" ht="69.599999999999994" customHeight="1">
      <c r="A2" s="383" t="s">
        <v>1030</v>
      </c>
      <c r="B2" s="382"/>
      <c r="C2" s="382"/>
      <c r="D2" s="382"/>
      <c r="E2" s="382"/>
      <c r="F2" s="382"/>
      <c r="G2" s="382"/>
      <c r="H2" s="382"/>
      <c r="I2" s="379"/>
      <c r="J2" s="381"/>
      <c r="K2" s="380"/>
      <c r="L2" s="379"/>
      <c r="M2" s="379"/>
      <c r="N2" s="379"/>
      <c r="O2" s="379"/>
      <c r="P2" s="378"/>
      <c r="Q2" s="378"/>
      <c r="R2" s="377"/>
      <c r="S2" s="376"/>
      <c r="T2" s="375" t="s">
        <v>1029</v>
      </c>
      <c r="U2" s="374"/>
      <c r="V2" s="374"/>
      <c r="W2" s="374"/>
      <c r="X2" s="374"/>
      <c r="Y2" s="374"/>
      <c r="Z2" s="374"/>
      <c r="AA2" s="374"/>
      <c r="AB2" s="373"/>
    </row>
    <row r="3" spans="1:28" ht="25.9" customHeight="1" thickBot="1">
      <c r="A3" s="372"/>
      <c r="B3" s="371"/>
      <c r="C3" s="371"/>
      <c r="D3" s="371"/>
      <c r="E3" s="371"/>
      <c r="F3" s="371"/>
      <c r="G3" s="371"/>
      <c r="H3" s="371"/>
      <c r="I3" s="368"/>
      <c r="J3" s="370"/>
      <c r="K3" s="369"/>
      <c r="L3" s="368"/>
      <c r="M3" s="368"/>
      <c r="N3" s="368"/>
      <c r="O3" s="368"/>
      <c r="P3" s="367"/>
      <c r="Q3" s="367"/>
      <c r="R3" s="366"/>
      <c r="S3" s="365"/>
      <c r="T3" s="364" t="s">
        <v>1028</v>
      </c>
      <c r="U3" s="363"/>
      <c r="V3" s="362"/>
      <c r="W3" s="361" t="s">
        <v>1027</v>
      </c>
      <c r="X3" s="361"/>
      <c r="Y3" s="361"/>
      <c r="Z3" s="361"/>
      <c r="AA3" s="361"/>
      <c r="AB3" s="360"/>
    </row>
    <row r="4" spans="1:28" ht="22.15" customHeight="1">
      <c r="A4" s="359" t="s">
        <v>1026</v>
      </c>
      <c r="B4" s="358"/>
      <c r="C4" s="358"/>
      <c r="D4" s="358"/>
      <c r="E4" s="358"/>
      <c r="F4" s="358"/>
      <c r="G4" s="358"/>
      <c r="H4" s="358"/>
      <c r="I4" s="358"/>
      <c r="J4" s="358"/>
      <c r="K4" s="358"/>
      <c r="L4" s="358"/>
      <c r="M4" s="358"/>
      <c r="N4" s="358"/>
      <c r="O4" s="357"/>
      <c r="P4" s="334"/>
      <c r="Q4" s="334"/>
      <c r="R4" s="333"/>
      <c r="S4" s="316"/>
      <c r="T4" s="355" t="s">
        <v>1025</v>
      </c>
      <c r="U4" s="356">
        <f>SUM(V10:V363)</f>
        <v>203338.70370393869</v>
      </c>
      <c r="V4" s="356"/>
      <c r="W4" s="352">
        <f>U4/U6</f>
        <v>0.12150365460031323</v>
      </c>
      <c r="X4" s="355" t="s">
        <v>1024</v>
      </c>
      <c r="Y4" s="354">
        <f>SUM(X10:X363)</f>
        <v>203338.70370393866</v>
      </c>
      <c r="Z4" s="354"/>
      <c r="AA4" s="353">
        <f>Y4/U6</f>
        <v>0.1215036546003132</v>
      </c>
      <c r="AB4" s="352"/>
    </row>
    <row r="5" spans="1:28" ht="21.6" customHeight="1">
      <c r="A5" s="350"/>
      <c r="B5" s="349"/>
      <c r="C5" s="349"/>
      <c r="D5" s="349"/>
      <c r="E5" s="349"/>
      <c r="F5" s="349"/>
      <c r="G5" s="349"/>
      <c r="H5" s="349"/>
      <c r="I5" s="349"/>
      <c r="J5" s="349"/>
      <c r="K5" s="349"/>
      <c r="L5" s="349"/>
      <c r="M5" s="349"/>
      <c r="N5" s="349"/>
      <c r="O5" s="348"/>
      <c r="P5" s="334"/>
      <c r="Q5" s="334"/>
      <c r="R5" s="333"/>
      <c r="S5" s="316"/>
      <c r="T5" s="347"/>
      <c r="U5" s="351"/>
      <c r="V5" s="351"/>
      <c r="W5" s="344"/>
      <c r="X5" s="347"/>
      <c r="Y5" s="346"/>
      <c r="Z5" s="346"/>
      <c r="AA5" s="345"/>
      <c r="AB5" s="344"/>
    </row>
    <row r="6" spans="1:28" ht="24" customHeight="1" thickBot="1">
      <c r="A6" s="350"/>
      <c r="B6" s="349"/>
      <c r="C6" s="349"/>
      <c r="D6" s="349"/>
      <c r="E6" s="349"/>
      <c r="F6" s="349"/>
      <c r="G6" s="349"/>
      <c r="H6" s="349"/>
      <c r="I6" s="349"/>
      <c r="J6" s="349"/>
      <c r="K6" s="349"/>
      <c r="L6" s="349"/>
      <c r="M6" s="349"/>
      <c r="N6" s="349"/>
      <c r="O6" s="348"/>
      <c r="P6" s="334"/>
      <c r="Q6" s="334"/>
      <c r="R6" s="333"/>
      <c r="S6" s="316"/>
      <c r="T6" s="347" t="s">
        <v>1023</v>
      </c>
      <c r="U6" s="346">
        <f>O8</f>
        <v>1673519.24</v>
      </c>
      <c r="V6" s="346"/>
      <c r="W6" s="344">
        <f>U6/O8</f>
        <v>1</v>
      </c>
      <c r="X6" s="347" t="s">
        <v>1022</v>
      </c>
      <c r="Y6" s="346">
        <f>U6-Y4</f>
        <v>1470180.5362960612</v>
      </c>
      <c r="Z6" s="346"/>
      <c r="AA6" s="345">
        <f>Y6/U6</f>
        <v>0.87849634539968668</v>
      </c>
      <c r="AB6" s="344"/>
    </row>
    <row r="7" spans="1:28" ht="24" customHeight="1" thickBot="1">
      <c r="A7" s="328" t="s">
        <v>1021</v>
      </c>
      <c r="B7" s="327"/>
      <c r="C7" s="327"/>
      <c r="D7" s="343" t="s">
        <v>1020</v>
      </c>
      <c r="E7" s="343"/>
      <c r="F7" s="343"/>
      <c r="G7" s="343"/>
      <c r="H7" s="342"/>
      <c r="I7" s="341" t="s">
        <v>1019</v>
      </c>
      <c r="J7" s="340"/>
      <c r="K7" s="340"/>
      <c r="L7" s="339"/>
      <c r="M7" s="338" t="s">
        <v>1018</v>
      </c>
      <c r="N7" s="337"/>
      <c r="O7" s="336"/>
      <c r="P7" s="335"/>
      <c r="Q7" s="334"/>
      <c r="R7" s="333"/>
      <c r="S7" s="316"/>
      <c r="T7" s="332"/>
      <c r="U7" s="331"/>
      <c r="V7" s="331"/>
      <c r="W7" s="329"/>
      <c r="X7" s="332"/>
      <c r="Y7" s="331"/>
      <c r="Z7" s="331"/>
      <c r="AA7" s="330"/>
      <c r="AB7" s="329"/>
    </row>
    <row r="8" spans="1:28" ht="24" customHeight="1" thickBot="1">
      <c r="A8" s="328" t="s">
        <v>1017</v>
      </c>
      <c r="B8" s="327"/>
      <c r="C8" s="327"/>
      <c r="D8" s="326" t="s">
        <v>1016</v>
      </c>
      <c r="E8" s="326"/>
      <c r="F8" s="326"/>
      <c r="G8" s="326"/>
      <c r="H8" s="325"/>
      <c r="I8" s="324" t="s">
        <v>1015</v>
      </c>
      <c r="J8" s="323"/>
      <c r="K8" s="323"/>
      <c r="L8" s="322"/>
      <c r="M8" s="322"/>
      <c r="N8" s="321"/>
      <c r="O8" s="320">
        <v>1673519.24</v>
      </c>
      <c r="P8" s="319"/>
      <c r="Q8" s="318"/>
      <c r="R8" s="317"/>
      <c r="S8" s="316"/>
      <c r="T8" s="315"/>
      <c r="U8" s="314"/>
      <c r="V8" s="314"/>
      <c r="W8" s="312"/>
      <c r="X8" s="315"/>
      <c r="Y8" s="314"/>
      <c r="Z8" s="314"/>
      <c r="AA8" s="313"/>
      <c r="AB8" s="312"/>
    </row>
    <row r="9" spans="1:28" ht="55.15" customHeight="1" thickBot="1">
      <c r="A9" s="311" t="s">
        <v>1014</v>
      </c>
      <c r="B9" s="309" t="s">
        <v>1013</v>
      </c>
      <c r="C9" s="309" t="s">
        <v>1012</v>
      </c>
      <c r="D9" s="310" t="s">
        <v>1011</v>
      </c>
      <c r="E9" s="309" t="s">
        <v>1010</v>
      </c>
      <c r="F9" s="309" t="s">
        <v>1009</v>
      </c>
      <c r="G9" s="309" t="s">
        <v>1008</v>
      </c>
      <c r="H9" s="310" t="s">
        <v>1007</v>
      </c>
      <c r="I9" s="309" t="s">
        <v>1006</v>
      </c>
      <c r="J9" s="308" t="s">
        <v>1005</v>
      </c>
      <c r="K9" s="307" t="s">
        <v>1004</v>
      </c>
      <c r="L9" s="306" t="s">
        <v>1003</v>
      </c>
      <c r="M9" s="305" t="s">
        <v>1002</v>
      </c>
      <c r="N9" s="305" t="s">
        <v>1001</v>
      </c>
      <c r="O9" s="305" t="s">
        <v>1000</v>
      </c>
      <c r="P9" s="304" t="s">
        <v>999</v>
      </c>
      <c r="Q9" s="303" t="s">
        <v>998</v>
      </c>
      <c r="R9" s="302" t="s">
        <v>997</v>
      </c>
      <c r="S9" s="301" t="s">
        <v>996</v>
      </c>
      <c r="T9" s="300" t="s">
        <v>995</v>
      </c>
      <c r="U9" s="299" t="s">
        <v>994</v>
      </c>
      <c r="V9" s="296" t="s">
        <v>993</v>
      </c>
      <c r="W9" s="298" t="s">
        <v>992</v>
      </c>
      <c r="X9" s="299" t="s">
        <v>991</v>
      </c>
      <c r="Y9" s="296" t="s">
        <v>990</v>
      </c>
      <c r="Z9" s="298" t="s">
        <v>989</v>
      </c>
      <c r="AA9" s="297" t="s">
        <v>988</v>
      </c>
      <c r="AB9" s="296" t="s">
        <v>987</v>
      </c>
    </row>
    <row r="10" spans="1:28" ht="25.5" customHeight="1">
      <c r="A10" s="265" t="s">
        <v>986</v>
      </c>
      <c r="B10" s="265" t="s">
        <v>928</v>
      </c>
      <c r="C10" s="238" t="s">
        <v>985</v>
      </c>
      <c r="D10" s="238" t="s">
        <v>926</v>
      </c>
      <c r="E10" s="237" t="s">
        <v>984</v>
      </c>
      <c r="F10" s="237">
        <v>90776</v>
      </c>
      <c r="G10" s="237" t="s">
        <v>26</v>
      </c>
      <c r="H10" s="251" t="s">
        <v>983</v>
      </c>
      <c r="I10" s="237" t="s">
        <v>980</v>
      </c>
      <c r="J10" s="250">
        <f>VLOOKUP(F10,'[1]Planilha Orçamentária'!B10:J387,5,FALSE)</f>
        <v>1600</v>
      </c>
      <c r="K10" s="249">
        <f>VLOOKUP(F10,'[1]Planilha Orçamentária'!B11:J387,7,FALSE)*$K$1</f>
        <v>46.109955000000006</v>
      </c>
      <c r="L10" s="232">
        <f>J10*K10</f>
        <v>73775.928000000014</v>
      </c>
      <c r="M10" s="231">
        <f>L10/$O$8</f>
        <v>4.4084302251583322E-2</v>
      </c>
      <c r="N10" s="295">
        <f>SUM(L10:L12)</f>
        <v>104725.44417000002</v>
      </c>
      <c r="O10" s="294">
        <f>N10/$O$8</f>
        <v>6.2577974406795592E-2</v>
      </c>
      <c r="P10" s="70">
        <v>1600</v>
      </c>
      <c r="Q10" s="69">
        <v>50.2</v>
      </c>
      <c r="R10" s="68">
        <v>80320</v>
      </c>
      <c r="S10" s="293">
        <v>98367.903999999995</v>
      </c>
      <c r="T10" s="222">
        <f>J10*$T$1</f>
        <v>178.05194997911082</v>
      </c>
      <c r="U10" s="224">
        <f>T10*K10</f>
        <v>8209.9674011990519</v>
      </c>
      <c r="V10" s="292">
        <f>U10+U11+U12</f>
        <v>11654.105966810628</v>
      </c>
      <c r="W10" s="222">
        <f>T10</f>
        <v>178.05194997911082</v>
      </c>
      <c r="X10" s="224">
        <f>U10</f>
        <v>8209.9674011990519</v>
      </c>
      <c r="Y10" s="292">
        <f>X10+X11+X12</f>
        <v>11654.105966810628</v>
      </c>
      <c r="Z10" s="222">
        <f>T10-W10</f>
        <v>0</v>
      </c>
      <c r="AA10" s="224">
        <f>L10-X10</f>
        <v>65565.960598800957</v>
      </c>
      <c r="AB10" s="292">
        <f>AA10+AA11+AA12</f>
        <v>93071.338203189385</v>
      </c>
    </row>
    <row r="11" spans="1:28" ht="34.9" customHeight="1">
      <c r="A11" s="264"/>
      <c r="B11" s="264"/>
      <c r="C11" s="216"/>
      <c r="D11" s="216"/>
      <c r="E11" s="214" t="s">
        <v>982</v>
      </c>
      <c r="F11" s="214">
        <v>90777</v>
      </c>
      <c r="G11" s="291" t="s">
        <v>26</v>
      </c>
      <c r="H11" s="215" t="s">
        <v>981</v>
      </c>
      <c r="I11" s="214" t="s">
        <v>980</v>
      </c>
      <c r="J11" s="290">
        <f>VLOOKUP(F11,'[1]Planilha Orçamentária'!B11:J388,5,FALSE)</f>
        <v>180</v>
      </c>
      <c r="K11" s="289">
        <f>VLOOKUP(F11,'[1]Planilha Orçamentária'!B12:J388,7,FALSE)*$K$1</f>
        <v>129.76002675000001</v>
      </c>
      <c r="L11" s="193">
        <f>K11*J11</f>
        <v>23356.804815000003</v>
      </c>
      <c r="M11" s="211">
        <f>L11/$O$8</f>
        <v>1.3956699305709806E-2</v>
      </c>
      <c r="N11" s="288"/>
      <c r="O11" s="287"/>
      <c r="P11" s="51">
        <v>180</v>
      </c>
      <c r="Q11" s="50">
        <v>133.38999999999999</v>
      </c>
      <c r="R11" s="49">
        <v>24010.2</v>
      </c>
      <c r="S11" s="163">
        <v>29405.291939999999</v>
      </c>
      <c r="T11" s="218">
        <f>J11*$T$1</f>
        <v>20.030844372649966</v>
      </c>
      <c r="U11" s="219">
        <f>T11*K11</f>
        <v>2599.2029016201468</v>
      </c>
      <c r="V11" s="286"/>
      <c r="W11" s="218">
        <f>T11</f>
        <v>20.030844372649966</v>
      </c>
      <c r="X11" s="219">
        <f>U11</f>
        <v>2599.2029016201468</v>
      </c>
      <c r="Y11" s="286"/>
      <c r="Z11" s="218">
        <f>T11-W11</f>
        <v>0</v>
      </c>
      <c r="AA11" s="219">
        <f>L11-X11</f>
        <v>20757.601913379855</v>
      </c>
      <c r="AB11" s="286"/>
    </row>
    <row r="12" spans="1:28" ht="91.15" customHeight="1" thickBot="1">
      <c r="A12" s="263"/>
      <c r="B12" s="263"/>
      <c r="C12" s="203"/>
      <c r="D12" s="203"/>
      <c r="E12" s="201" t="s">
        <v>979</v>
      </c>
      <c r="F12" s="201" t="s">
        <v>47</v>
      </c>
      <c r="G12" s="201" t="s">
        <v>33</v>
      </c>
      <c r="H12" s="202" t="s">
        <v>978</v>
      </c>
      <c r="I12" s="201" t="s">
        <v>977</v>
      </c>
      <c r="J12" s="285">
        <f>VLOOKUP(F12,'[1]Planilha Orçamentária'!B12:J389,5,FALSE)</f>
        <v>230</v>
      </c>
      <c r="K12" s="284">
        <f>VLOOKUP(F12,'[1]Planilha Orçamentária'!B13:J389,7,FALSE)*$K$1</f>
        <v>33.011788499999994</v>
      </c>
      <c r="L12" s="198">
        <f>K12*J12</f>
        <v>7592.7113549999985</v>
      </c>
      <c r="M12" s="197">
        <f>L12/$O$8</f>
        <v>4.5369728495024643E-3</v>
      </c>
      <c r="N12" s="283"/>
      <c r="O12" s="282"/>
      <c r="P12" s="32">
        <v>260</v>
      </c>
      <c r="Q12" s="31">
        <v>35.5</v>
      </c>
      <c r="R12" s="30">
        <v>9230</v>
      </c>
      <c r="S12" s="270">
        <v>11303.981</v>
      </c>
      <c r="T12" s="189">
        <f>J12*$T$1</f>
        <v>25.594967809497181</v>
      </c>
      <c r="U12" s="188">
        <f>T12*K12</f>
        <v>844.93566399142912</v>
      </c>
      <c r="V12" s="281"/>
      <c r="W12" s="189">
        <f>T12</f>
        <v>25.594967809497181</v>
      </c>
      <c r="X12" s="188">
        <f>U12</f>
        <v>844.93566399142912</v>
      </c>
      <c r="Y12" s="281"/>
      <c r="Z12" s="189">
        <f>T12-W12</f>
        <v>0</v>
      </c>
      <c r="AA12" s="188">
        <f>L12-X12</f>
        <v>6747.7756910085691</v>
      </c>
      <c r="AB12" s="281"/>
    </row>
    <row r="13" spans="1:28" ht="51">
      <c r="A13" s="120" t="s">
        <v>976</v>
      </c>
      <c r="B13" s="120">
        <v>1</v>
      </c>
      <c r="C13" s="280" t="s">
        <v>975</v>
      </c>
      <c r="D13" s="119" t="s">
        <v>955</v>
      </c>
      <c r="E13" s="117" t="s">
        <v>974</v>
      </c>
      <c r="F13" s="117" t="s">
        <v>973</v>
      </c>
      <c r="G13" s="117" t="s">
        <v>33</v>
      </c>
      <c r="H13" s="118" t="s">
        <v>972</v>
      </c>
      <c r="I13" s="117" t="s">
        <v>45</v>
      </c>
      <c r="J13" s="116">
        <f>VLOOKUP(F13,'[1]Planilha Orçamentária'!B13:J390,5,FALSE)</f>
        <v>226</v>
      </c>
      <c r="K13" s="115">
        <f>VLOOKUP(F13,'[1]Planilha Orçamentária'!B14:J390,7,FALSE)*$K$1</f>
        <v>73.812668999999985</v>
      </c>
      <c r="L13" s="279">
        <f>K13*J13</f>
        <v>16681.663193999997</v>
      </c>
      <c r="M13" s="278">
        <f>L13/$O$8</f>
        <v>9.96801398829451E-3</v>
      </c>
      <c r="N13" s="277">
        <f>SUM(L13:L14)</f>
        <v>26016.834844499994</v>
      </c>
      <c r="O13" s="276">
        <f>N13/$O$8</f>
        <v>1.5546182094984455E-2</v>
      </c>
      <c r="P13" s="180">
        <v>226</v>
      </c>
      <c r="Q13" s="179">
        <v>80.36</v>
      </c>
      <c r="R13" s="178">
        <v>18161.36</v>
      </c>
      <c r="S13" s="275">
        <v>22242.217591999997</v>
      </c>
      <c r="T13" s="184">
        <v>0</v>
      </c>
      <c r="U13" s="185">
        <f>T13*K13</f>
        <v>0</v>
      </c>
      <c r="V13" s="107">
        <f>U13+U140</f>
        <v>0</v>
      </c>
      <c r="W13" s="184">
        <f>T13</f>
        <v>0</v>
      </c>
      <c r="X13" s="185">
        <f>U13</f>
        <v>0</v>
      </c>
      <c r="Y13" s="107">
        <f>X13+X140</f>
        <v>0</v>
      </c>
      <c r="Z13" s="184">
        <f>T13-W13</f>
        <v>0</v>
      </c>
      <c r="AA13" s="154">
        <f>L13-X13</f>
        <v>16681.663193999997</v>
      </c>
      <c r="AB13" s="107">
        <f>AA13+AA140</f>
        <v>24850.122919859998</v>
      </c>
    </row>
    <row r="14" spans="1:28" ht="39" thickBot="1">
      <c r="A14" s="104"/>
      <c r="B14" s="104"/>
      <c r="C14" s="122"/>
      <c r="D14" s="41"/>
      <c r="E14" s="39" t="s">
        <v>971</v>
      </c>
      <c r="F14" s="39" t="s">
        <v>970</v>
      </c>
      <c r="G14" s="39" t="s">
        <v>33</v>
      </c>
      <c r="H14" s="40" t="s">
        <v>969</v>
      </c>
      <c r="I14" s="39" t="s">
        <v>45</v>
      </c>
      <c r="J14" s="38">
        <f>VLOOKUP(F14,'[1]Planilha Orçamentária'!B14:J391,5,FALSE)</f>
        <v>226</v>
      </c>
      <c r="K14" s="37">
        <f>VLOOKUP(F14,'[1]Planilha Orçamentária'!B15:J391,7,FALSE)*$K$1</f>
        <v>41.306069249999993</v>
      </c>
      <c r="L14" s="274">
        <f>K14*J14</f>
        <v>9335.1716504999986</v>
      </c>
      <c r="M14" s="273">
        <f>L14/$O$8</f>
        <v>5.5781681066899465E-3</v>
      </c>
      <c r="N14" s="272"/>
      <c r="O14" s="271"/>
      <c r="P14" s="51">
        <v>226</v>
      </c>
      <c r="Q14" s="50">
        <v>44.97</v>
      </c>
      <c r="R14" s="49">
        <v>10163.219999999999</v>
      </c>
      <c r="S14" s="270">
        <v>12446.895533999997</v>
      </c>
      <c r="T14" s="27">
        <v>0</v>
      </c>
      <c r="U14" s="26">
        <f>T14*K14</f>
        <v>0</v>
      </c>
      <c r="V14" s="25"/>
      <c r="W14" s="27">
        <f>T14</f>
        <v>0</v>
      </c>
      <c r="X14" s="26">
        <f>U14</f>
        <v>0</v>
      </c>
      <c r="Y14" s="25"/>
      <c r="Z14" s="27">
        <f>T14-W14</f>
        <v>0</v>
      </c>
      <c r="AA14" s="44">
        <f>L14-X14</f>
        <v>9335.1716504999986</v>
      </c>
      <c r="AB14" s="25"/>
    </row>
    <row r="15" spans="1:28" ht="38.25">
      <c r="A15" s="101" t="s">
        <v>968</v>
      </c>
      <c r="B15" s="101">
        <v>2</v>
      </c>
      <c r="C15" s="79" t="s">
        <v>967</v>
      </c>
      <c r="D15" s="79" t="s">
        <v>955</v>
      </c>
      <c r="E15" s="77" t="s">
        <v>966</v>
      </c>
      <c r="F15" s="77" t="s">
        <v>965</v>
      </c>
      <c r="G15" s="77" t="s">
        <v>33</v>
      </c>
      <c r="H15" s="78" t="s">
        <v>964</v>
      </c>
      <c r="I15" s="77" t="s">
        <v>45</v>
      </c>
      <c r="J15" s="76">
        <f>VLOOKUP(F15,'[1]Planilha Orçamentária'!B15:J392,5,FALSE)</f>
        <v>226</v>
      </c>
      <c r="K15" s="75">
        <f>VLOOKUP(F15,'[1]Planilha Orçamentária'!B16:J392,7,FALSE)*$K$1</f>
        <v>4.4824019999999996</v>
      </c>
      <c r="L15" s="74">
        <f>K15*J15</f>
        <v>1013.0228519999999</v>
      </c>
      <c r="M15" s="73">
        <f>L15/$O$8</f>
        <v>6.0532489127522666E-4</v>
      </c>
      <c r="N15" s="143">
        <f>SUM(L15:L17)</f>
        <v>4739.2032194999992</v>
      </c>
      <c r="O15" s="111">
        <f>N15/$O$8</f>
        <v>2.8318785384863574E-3</v>
      </c>
      <c r="P15" s="51">
        <v>226</v>
      </c>
      <c r="Q15" s="50">
        <v>4.88</v>
      </c>
      <c r="R15" s="49">
        <v>1102.8800000000001</v>
      </c>
      <c r="S15" s="267">
        <v>1350.697136</v>
      </c>
      <c r="T15" s="64">
        <v>0</v>
      </c>
      <c r="U15" s="66">
        <f>T15*K15</f>
        <v>0</v>
      </c>
      <c r="V15" s="125">
        <f>U15+U16+U17</f>
        <v>0</v>
      </c>
      <c r="W15" s="64">
        <f>T15</f>
        <v>0</v>
      </c>
      <c r="X15" s="66">
        <f>U15</f>
        <v>0</v>
      </c>
      <c r="Y15" s="125">
        <f>X15+X16+X17</f>
        <v>0</v>
      </c>
      <c r="Z15" s="64">
        <f>T15-W15</f>
        <v>0</v>
      </c>
      <c r="AA15" s="66">
        <f>L15-X15</f>
        <v>1013.0228519999999</v>
      </c>
      <c r="AB15" s="125">
        <f>AA15+AA16+AA17</f>
        <v>4739.2032194999992</v>
      </c>
    </row>
    <row r="16" spans="1:28" ht="38.25">
      <c r="A16" s="98"/>
      <c r="B16" s="98"/>
      <c r="C16" s="60"/>
      <c r="D16" s="60"/>
      <c r="E16" s="58" t="s">
        <v>963</v>
      </c>
      <c r="F16" s="58" t="s">
        <v>962</v>
      </c>
      <c r="G16" s="58" t="s">
        <v>33</v>
      </c>
      <c r="H16" s="59" t="s">
        <v>961</v>
      </c>
      <c r="I16" s="58" t="s">
        <v>45</v>
      </c>
      <c r="J16" s="57">
        <f>VLOOKUP(F16,'[1]Planilha Orçamentária'!B16:J393,5,FALSE)</f>
        <v>226</v>
      </c>
      <c r="K16" s="56">
        <f>VLOOKUP(F16,'[1]Planilha Orçamentária'!B17:J393,7,FALSE)*$K$1</f>
        <v>7.5227197499999994</v>
      </c>
      <c r="L16" s="55">
        <f>K16*J16</f>
        <v>1700.1346634999998</v>
      </c>
      <c r="M16" s="54">
        <f>L16/$O$8</f>
        <v>1.0159038646606773E-3</v>
      </c>
      <c r="N16" s="142"/>
      <c r="O16" s="141"/>
      <c r="P16" s="51">
        <v>226</v>
      </c>
      <c r="Q16" s="50">
        <v>8.19</v>
      </c>
      <c r="R16" s="49">
        <v>1850.94</v>
      </c>
      <c r="S16" s="269">
        <v>2266.8462179999997</v>
      </c>
      <c r="T16" s="45">
        <v>0</v>
      </c>
      <c r="U16" s="47">
        <f>T16*K16</f>
        <v>0</v>
      </c>
      <c r="V16" s="123"/>
      <c r="W16" s="45">
        <f>T16</f>
        <v>0</v>
      </c>
      <c r="X16" s="47">
        <f>U16</f>
        <v>0</v>
      </c>
      <c r="Y16" s="123"/>
      <c r="Z16" s="45">
        <f>T16-W16</f>
        <v>0</v>
      </c>
      <c r="AA16" s="47">
        <f>L16-X16</f>
        <v>1700.1346634999998</v>
      </c>
      <c r="AB16" s="123"/>
    </row>
    <row r="17" spans="1:28" ht="39" thickBot="1">
      <c r="A17" s="104"/>
      <c r="B17" s="104"/>
      <c r="C17" s="41"/>
      <c r="D17" s="41"/>
      <c r="E17" s="39" t="s">
        <v>960</v>
      </c>
      <c r="F17" s="39" t="s">
        <v>959</v>
      </c>
      <c r="G17" s="39" t="s">
        <v>33</v>
      </c>
      <c r="H17" s="40" t="s">
        <v>958</v>
      </c>
      <c r="I17" s="39" t="s">
        <v>45</v>
      </c>
      <c r="J17" s="38">
        <f>VLOOKUP(F17,'[1]Planilha Orçamentária'!B17:J394,5,FALSE)</f>
        <v>226</v>
      </c>
      <c r="K17" s="37">
        <f>VLOOKUP(F17,'[1]Planilha Orçamentária'!B18:J394,7,FALSE)*$K$1</f>
        <v>8.9648039999999991</v>
      </c>
      <c r="L17" s="36">
        <f>K17*J17</f>
        <v>2026.0457039999999</v>
      </c>
      <c r="M17" s="35">
        <f>L17/$O$8</f>
        <v>1.2106497825504533E-3</v>
      </c>
      <c r="N17" s="140"/>
      <c r="O17" s="109"/>
      <c r="P17" s="51">
        <v>226</v>
      </c>
      <c r="Q17" s="50">
        <v>9.76</v>
      </c>
      <c r="R17" s="49">
        <v>2205.7600000000002</v>
      </c>
      <c r="S17" s="266">
        <v>2701.394272</v>
      </c>
      <c r="T17" s="82">
        <v>0</v>
      </c>
      <c r="U17" s="44">
        <f>T17*K17</f>
        <v>0</v>
      </c>
      <c r="V17" s="268"/>
      <c r="W17" s="82">
        <f>T17</f>
        <v>0</v>
      </c>
      <c r="X17" s="44">
        <f>U17</f>
        <v>0</v>
      </c>
      <c r="Y17" s="268"/>
      <c r="Z17" s="82">
        <f>T17-W17</f>
        <v>0</v>
      </c>
      <c r="AA17" s="44">
        <f>L17-X17</f>
        <v>2026.0457039999999</v>
      </c>
      <c r="AB17" s="268"/>
    </row>
    <row r="18" spans="1:28" ht="38.25">
      <c r="A18" s="139" t="s">
        <v>957</v>
      </c>
      <c r="B18" s="139">
        <v>3</v>
      </c>
      <c r="C18" s="162" t="s">
        <v>956</v>
      </c>
      <c r="D18" s="162" t="s">
        <v>955</v>
      </c>
      <c r="E18" s="77" t="s">
        <v>954</v>
      </c>
      <c r="F18" s="77" t="s">
        <v>953</v>
      </c>
      <c r="G18" s="77" t="s">
        <v>33</v>
      </c>
      <c r="H18" s="78" t="s">
        <v>952</v>
      </c>
      <c r="I18" s="77" t="s">
        <v>45</v>
      </c>
      <c r="J18" s="76">
        <v>226</v>
      </c>
      <c r="K18" s="75">
        <f>3.66*K1</f>
        <v>4.4824019999999996</v>
      </c>
      <c r="L18" s="74">
        <f>K18*J18</f>
        <v>1013.0228519999999</v>
      </c>
      <c r="M18" s="73">
        <f>L18/$O$8</f>
        <v>6.0532489127522666E-4</v>
      </c>
      <c r="N18" s="112">
        <f>SUM(L18:L19)</f>
        <v>2565.770994</v>
      </c>
      <c r="O18" s="111">
        <f>N18/$O$8</f>
        <v>1.5331589459347955E-3</v>
      </c>
      <c r="P18" s="180">
        <v>226</v>
      </c>
      <c r="Q18" s="179">
        <v>4.88</v>
      </c>
      <c r="R18" s="178">
        <v>1102.8800000000001</v>
      </c>
      <c r="S18" s="267">
        <v>1350.697136</v>
      </c>
      <c r="T18" s="64">
        <v>0</v>
      </c>
      <c r="U18" s="66">
        <f>T18*K18</f>
        <v>0</v>
      </c>
      <c r="V18" s="62">
        <f>U18+U145</f>
        <v>0</v>
      </c>
      <c r="W18" s="64">
        <f>T18</f>
        <v>0</v>
      </c>
      <c r="X18" s="66">
        <f>U18</f>
        <v>0</v>
      </c>
      <c r="Y18" s="62">
        <f>X18+X145</f>
        <v>0</v>
      </c>
      <c r="Z18" s="64">
        <f>T18-W18</f>
        <v>0</v>
      </c>
      <c r="AA18" s="44">
        <f>L18-X18</f>
        <v>1013.0228519999999</v>
      </c>
      <c r="AB18" s="62">
        <f>AA18+AA145</f>
        <v>2163.70504575</v>
      </c>
    </row>
    <row r="19" spans="1:28" ht="26.25" thickBot="1">
      <c r="A19" s="137"/>
      <c r="B19" s="137"/>
      <c r="C19" s="148"/>
      <c r="D19" s="148"/>
      <c r="E19" s="39" t="s">
        <v>951</v>
      </c>
      <c r="F19" s="39" t="s">
        <v>950</v>
      </c>
      <c r="G19" s="39" t="s">
        <v>33</v>
      </c>
      <c r="H19" s="40" t="s">
        <v>949</v>
      </c>
      <c r="I19" s="39" t="s">
        <v>45</v>
      </c>
      <c r="J19" s="38">
        <f>VLOOKUP(F19,'[1]Planilha Orçamentária'!B19:J396,5,FALSE)</f>
        <v>226</v>
      </c>
      <c r="K19" s="37">
        <f>VLOOKUP(F19,'[1]Planilha Orçamentária'!B20:J396,7,FALSE)*$K$1</f>
        <v>6.8705669999999994</v>
      </c>
      <c r="L19" s="36">
        <f>K19*J19</f>
        <v>1552.7481419999999</v>
      </c>
      <c r="M19" s="35">
        <f>L19/$O$8</f>
        <v>9.2783405465956875E-4</v>
      </c>
      <c r="N19" s="110"/>
      <c r="O19" s="109"/>
      <c r="P19" s="32">
        <v>226</v>
      </c>
      <c r="Q19" s="31">
        <v>7.48</v>
      </c>
      <c r="R19" s="30">
        <v>1690.48</v>
      </c>
      <c r="S19" s="266">
        <v>2070.330856</v>
      </c>
      <c r="T19" s="82">
        <v>0</v>
      </c>
      <c r="U19" s="44">
        <f>T19*K19</f>
        <v>0</v>
      </c>
      <c r="V19" s="43"/>
      <c r="W19" s="82">
        <f>T19</f>
        <v>0</v>
      </c>
      <c r="X19" s="44">
        <f>U19</f>
        <v>0</v>
      </c>
      <c r="Y19" s="43"/>
      <c r="Z19" s="82">
        <f>T19-W19</f>
        <v>0</v>
      </c>
      <c r="AA19" s="44">
        <f>L19-X19</f>
        <v>1552.7481419999999</v>
      </c>
      <c r="AB19" s="43"/>
    </row>
    <row r="20" spans="1:28" ht="63.75">
      <c r="A20" s="265" t="s">
        <v>948</v>
      </c>
      <c r="B20" s="265" t="s">
        <v>928</v>
      </c>
      <c r="C20" s="238" t="s">
        <v>947</v>
      </c>
      <c r="D20" s="238" t="s">
        <v>926</v>
      </c>
      <c r="E20" s="237" t="s">
        <v>946</v>
      </c>
      <c r="F20" s="237" t="s">
        <v>945</v>
      </c>
      <c r="G20" s="237" t="s">
        <v>33</v>
      </c>
      <c r="H20" s="251" t="s">
        <v>944</v>
      </c>
      <c r="I20" s="237" t="s">
        <v>943</v>
      </c>
      <c r="J20" s="250">
        <f>VLOOKUP(F20,'[1]Planilha Orçamentária'!B20:J397,5,FALSE)</f>
        <v>10</v>
      </c>
      <c r="K20" s="249">
        <f>VLOOKUP(F20,'[1]Planilha Orçamentária'!B21:J397,7,FALSE)*$K$1</f>
        <v>1148.15625</v>
      </c>
      <c r="L20" s="232">
        <f>K20*J20</f>
        <v>11481.5625</v>
      </c>
      <c r="M20" s="231">
        <f>L20/$O$8</f>
        <v>6.8607293095716065E-3</v>
      </c>
      <c r="N20" s="230">
        <f>SUM(L20:L24)</f>
        <v>19967.254674750002</v>
      </c>
      <c r="O20" s="229">
        <f>N20/$O$8</f>
        <v>1.1931296753271866E-2</v>
      </c>
      <c r="P20" s="262">
        <v>10</v>
      </c>
      <c r="Q20" s="261">
        <v>1250</v>
      </c>
      <c r="R20" s="260">
        <v>12500</v>
      </c>
      <c r="S20" s="259">
        <v>15308.749999999998</v>
      </c>
      <c r="T20" s="222">
        <f>J20*$T$1</f>
        <v>1.1128246873694427</v>
      </c>
      <c r="U20" s="224">
        <f>T20*K20</f>
        <v>1277.6966199575218</v>
      </c>
      <c r="V20" s="223">
        <f>U20+U21+U22+U23+U24</f>
        <v>2222.0053941054712</v>
      </c>
      <c r="W20" s="222">
        <f>T20</f>
        <v>1.1128246873694427</v>
      </c>
      <c r="X20" s="224">
        <f>U20</f>
        <v>1277.6966199575218</v>
      </c>
      <c r="Y20" s="223">
        <f>X20+X21+X22+X23+X24</f>
        <v>2222.0053941054712</v>
      </c>
      <c r="Z20" s="222">
        <f>T20-W20</f>
        <v>0</v>
      </c>
      <c r="AA20" s="221">
        <f>L20-X20</f>
        <v>10203.865880042478</v>
      </c>
      <c r="AB20" s="220">
        <f>AA20+AA21+AA22+AA23+AA24</f>
        <v>17745.24928064453</v>
      </c>
    </row>
    <row r="21" spans="1:28" ht="38.25">
      <c r="A21" s="264"/>
      <c r="B21" s="264"/>
      <c r="C21" s="216"/>
      <c r="D21" s="216"/>
      <c r="E21" s="214" t="s">
        <v>942</v>
      </c>
      <c r="F21" s="214" t="s">
        <v>941</v>
      </c>
      <c r="G21" s="214" t="s">
        <v>33</v>
      </c>
      <c r="H21" s="215" t="s">
        <v>940</v>
      </c>
      <c r="I21" s="214" t="s">
        <v>24</v>
      </c>
      <c r="J21" s="213">
        <f>VLOOKUP(F21,'[1]Planilha Orçamentária'!B21:J398,5,FALSE)</f>
        <v>1</v>
      </c>
      <c r="K21" s="212">
        <f>VLOOKUP(F21,'[1]Planilha Orçamentária'!B22:J398,7,FALSE)*$K$1</f>
        <v>4416.4702754999998</v>
      </c>
      <c r="L21" s="193">
        <f>K21*J21</f>
        <v>4416.4702754999998</v>
      </c>
      <c r="M21" s="211">
        <f>L21/$O$8</f>
        <v>2.6390316704694712E-3</v>
      </c>
      <c r="N21" s="210"/>
      <c r="O21" s="209"/>
      <c r="P21" s="244">
        <v>1</v>
      </c>
      <c r="Q21" s="243">
        <v>4814.41</v>
      </c>
      <c r="R21" s="242">
        <v>4814.41</v>
      </c>
      <c r="S21" s="258">
        <v>5896.2079269999995</v>
      </c>
      <c r="T21" s="218">
        <f>J21*$T$1</f>
        <v>0.11128246873694426</v>
      </c>
      <c r="U21" s="219">
        <f>T21*K21</f>
        <v>491.47571536097234</v>
      </c>
      <c r="V21" s="208"/>
      <c r="W21" s="218">
        <f>T21</f>
        <v>0.11128246873694426</v>
      </c>
      <c r="X21" s="219">
        <f>U21</f>
        <v>491.47571536097234</v>
      </c>
      <c r="Y21" s="208"/>
      <c r="Z21" s="218">
        <f>T21-W21</f>
        <v>0</v>
      </c>
      <c r="AA21" s="206">
        <f>L21-X21</f>
        <v>3924.9945601390273</v>
      </c>
      <c r="AB21" s="205"/>
    </row>
    <row r="22" spans="1:28" ht="38.25">
      <c r="A22" s="264"/>
      <c r="B22" s="264"/>
      <c r="C22" s="216"/>
      <c r="D22" s="216"/>
      <c r="E22" s="214" t="s">
        <v>939</v>
      </c>
      <c r="F22" s="214" t="s">
        <v>938</v>
      </c>
      <c r="G22" s="214" t="s">
        <v>33</v>
      </c>
      <c r="H22" s="215" t="s">
        <v>937</v>
      </c>
      <c r="I22" s="214" t="s">
        <v>24</v>
      </c>
      <c r="J22" s="213">
        <f>VLOOKUP(F22,'[1]Planilha Orçamentária'!B22:J399,5,FALSE)</f>
        <v>1</v>
      </c>
      <c r="K22" s="212">
        <f>VLOOKUP(F22,'[1]Planilha Orçamentária'!B23:J399,7,FALSE)*$K$1</f>
        <v>2211.5601982499998</v>
      </c>
      <c r="L22" s="193">
        <f>K22*J22</f>
        <v>2211.5601982499998</v>
      </c>
      <c r="M22" s="211">
        <f>L22/$O$8</f>
        <v>1.3215027024427875E-3</v>
      </c>
      <c r="N22" s="210"/>
      <c r="O22" s="209"/>
      <c r="P22" s="244">
        <v>1</v>
      </c>
      <c r="Q22" s="243">
        <v>2475.58</v>
      </c>
      <c r="R22" s="242">
        <v>2475.58</v>
      </c>
      <c r="S22" s="258">
        <v>3031.8428259999996</v>
      </c>
      <c r="T22" s="207">
        <f>J22*$T$1</f>
        <v>0.11128246873694426</v>
      </c>
      <c r="U22" s="206">
        <f>T22*K22</f>
        <v>246.10787862162587</v>
      </c>
      <c r="V22" s="208"/>
      <c r="W22" s="207">
        <f>T22</f>
        <v>0.11128246873694426</v>
      </c>
      <c r="X22" s="206">
        <f>U22</f>
        <v>246.10787862162587</v>
      </c>
      <c r="Y22" s="208"/>
      <c r="Z22" s="207">
        <f>T22-W22</f>
        <v>0</v>
      </c>
      <c r="AA22" s="206">
        <f>L22-X22</f>
        <v>1965.452319628374</v>
      </c>
      <c r="AB22" s="205"/>
    </row>
    <row r="23" spans="1:28" ht="25.5">
      <c r="A23" s="264"/>
      <c r="B23" s="264"/>
      <c r="C23" s="216"/>
      <c r="D23" s="216"/>
      <c r="E23" s="214" t="s">
        <v>936</v>
      </c>
      <c r="F23" s="214" t="s">
        <v>935</v>
      </c>
      <c r="G23" s="214" t="s">
        <v>33</v>
      </c>
      <c r="H23" s="215" t="s">
        <v>934</v>
      </c>
      <c r="I23" s="214" t="s">
        <v>933</v>
      </c>
      <c r="J23" s="213">
        <f>VLOOKUP(F23,'[1]Planilha Orçamentária'!B23:J400,5,FALSE)</f>
        <v>50</v>
      </c>
      <c r="K23" s="212">
        <f>VLOOKUP(F23,'[1]Planilha Orçamentária'!B24:J400,7,FALSE)*$K$1</f>
        <v>35.271359999999994</v>
      </c>
      <c r="L23" s="193">
        <f>K23*J23</f>
        <v>1763.5679999999998</v>
      </c>
      <c r="M23" s="211">
        <f>L23/$O$8</f>
        <v>1.0538080219501986E-3</v>
      </c>
      <c r="N23" s="210"/>
      <c r="O23" s="209"/>
      <c r="P23" s="244">
        <v>50</v>
      </c>
      <c r="Q23" s="243">
        <v>38.83</v>
      </c>
      <c r="R23" s="242">
        <v>1941.5</v>
      </c>
      <c r="S23" s="258">
        <v>2377.7550499999998</v>
      </c>
      <c r="T23" s="207">
        <f>J23*$T$1</f>
        <v>5.564123436847213</v>
      </c>
      <c r="U23" s="206">
        <f>T23*K23</f>
        <v>196.25420082547529</v>
      </c>
      <c r="V23" s="208"/>
      <c r="W23" s="207">
        <f>T23</f>
        <v>5.564123436847213</v>
      </c>
      <c r="X23" s="206">
        <f>U23</f>
        <v>196.25420082547529</v>
      </c>
      <c r="Y23" s="208"/>
      <c r="Z23" s="207">
        <f>T23-W23</f>
        <v>0</v>
      </c>
      <c r="AA23" s="206">
        <f>L23-X23</f>
        <v>1567.3137991745245</v>
      </c>
      <c r="AB23" s="205"/>
    </row>
    <row r="24" spans="1:28" ht="15" thickBot="1">
      <c r="A24" s="263"/>
      <c r="B24" s="263"/>
      <c r="C24" s="203"/>
      <c r="D24" s="203"/>
      <c r="E24" s="201" t="s">
        <v>932</v>
      </c>
      <c r="F24" s="201" t="s">
        <v>931</v>
      </c>
      <c r="G24" s="201" t="s">
        <v>33</v>
      </c>
      <c r="H24" s="202" t="s">
        <v>930</v>
      </c>
      <c r="I24" s="201" t="s">
        <v>24</v>
      </c>
      <c r="J24" s="200">
        <f>VLOOKUP(F24,'[1]Planilha Orçamentária'!B24:J401,5,FALSE)</f>
        <v>1</v>
      </c>
      <c r="K24" s="199">
        <f>VLOOKUP(F24,'[1]Planilha Orçamentária'!B25:J401,7,FALSE)*$K$1</f>
        <v>94.093700999999996</v>
      </c>
      <c r="L24" s="198">
        <f>K24*J24</f>
        <v>94.093700999999996</v>
      </c>
      <c r="M24" s="197">
        <f>L24/$O$8</f>
        <v>5.6225048837801226E-5</v>
      </c>
      <c r="N24" s="196"/>
      <c r="O24" s="195"/>
      <c r="P24" s="257">
        <v>1</v>
      </c>
      <c r="Q24" s="256">
        <v>102.69</v>
      </c>
      <c r="R24" s="255">
        <v>102.69</v>
      </c>
      <c r="S24" s="254">
        <v>125.76444299999999</v>
      </c>
      <c r="T24" s="189">
        <f>J24*$T$1</f>
        <v>0.11128246873694426</v>
      </c>
      <c r="U24" s="188">
        <f>T24*K24</f>
        <v>10.47097933987588</v>
      </c>
      <c r="V24" s="190"/>
      <c r="W24" s="189">
        <f>T24</f>
        <v>0.11128246873694426</v>
      </c>
      <c r="X24" s="188">
        <f>U24</f>
        <v>10.47097933987588</v>
      </c>
      <c r="Y24" s="190"/>
      <c r="Z24" s="189">
        <f>T24-W24</f>
        <v>0</v>
      </c>
      <c r="AA24" s="188">
        <f>L24-X24</f>
        <v>83.622721660124114</v>
      </c>
      <c r="AB24" s="187"/>
    </row>
    <row r="25" spans="1:28" ht="38.25">
      <c r="A25" s="253" t="s">
        <v>929</v>
      </c>
      <c r="B25" s="253" t="s">
        <v>928</v>
      </c>
      <c r="C25" s="252" t="s">
        <v>927</v>
      </c>
      <c r="D25" s="252" t="s">
        <v>926</v>
      </c>
      <c r="E25" s="237" t="s">
        <v>925</v>
      </c>
      <c r="F25" s="237">
        <v>20193</v>
      </c>
      <c r="G25" s="237" t="s">
        <v>26</v>
      </c>
      <c r="H25" s="251" t="s">
        <v>924</v>
      </c>
      <c r="I25" s="237" t="s">
        <v>923</v>
      </c>
      <c r="J25" s="250">
        <f>VLOOKUP(F25,'[1]Planilha Orçamentária'!B25:J402,5,FALSE)</f>
        <v>400</v>
      </c>
      <c r="K25" s="249">
        <f>VLOOKUP(F25,'[1]Planilha Orçamentária'!B26:J402,7,FALSE)*$K$1</f>
        <v>20.666812499999999</v>
      </c>
      <c r="L25" s="232">
        <f>K25*J25</f>
        <v>8266.7250000000004</v>
      </c>
      <c r="M25" s="231">
        <f>L25/$O$8</f>
        <v>4.9397251028915571E-3</v>
      </c>
      <c r="N25" s="230">
        <f>SUM(L25:L28)</f>
        <v>29012.89806</v>
      </c>
      <c r="O25" s="229">
        <f>N25/$O$8</f>
        <v>1.7336459221108207E-2</v>
      </c>
      <c r="P25" s="262">
        <v>400</v>
      </c>
      <c r="Q25" s="261">
        <v>25.5</v>
      </c>
      <c r="R25" s="260">
        <v>10200</v>
      </c>
      <c r="S25" s="259">
        <v>12491.939999999999</v>
      </c>
      <c r="T25" s="222">
        <f>J25*$T$1</f>
        <v>44.512987494777704</v>
      </c>
      <c r="U25" s="224">
        <f>T25*K25</f>
        <v>919.94156636941545</v>
      </c>
      <c r="V25" s="223">
        <f>U25+U26+U27+U28</f>
        <v>3228.6269213301007</v>
      </c>
      <c r="W25" s="222">
        <f>T25</f>
        <v>44.512987494777704</v>
      </c>
      <c r="X25" s="224">
        <f>U25</f>
        <v>919.94156636941545</v>
      </c>
      <c r="Y25" s="223">
        <f>X25+X26+X27+X28</f>
        <v>3228.6269213301007</v>
      </c>
      <c r="Z25" s="222">
        <f>T25-W25</f>
        <v>0</v>
      </c>
      <c r="AA25" s="221">
        <f>L25-X25</f>
        <v>7346.783433630585</v>
      </c>
      <c r="AB25" s="220">
        <f>AA25+AA26+AA27+AA28</f>
        <v>25784.271138669901</v>
      </c>
    </row>
    <row r="26" spans="1:28" ht="38.25">
      <c r="A26" s="248"/>
      <c r="B26" s="248"/>
      <c r="C26" s="247"/>
      <c r="D26" s="247"/>
      <c r="E26" s="214" t="s">
        <v>922</v>
      </c>
      <c r="F26" s="214">
        <v>10527</v>
      </c>
      <c r="G26" s="214" t="s">
        <v>26</v>
      </c>
      <c r="H26" s="215" t="s">
        <v>921</v>
      </c>
      <c r="I26" s="214" t="s">
        <v>920</v>
      </c>
      <c r="J26" s="213">
        <f>VLOOKUP(F26,'[1]Planilha Orçamentária'!B26:J403,5,FALSE)</f>
        <v>240</v>
      </c>
      <c r="K26" s="212">
        <f>VLOOKUP(F26,'[1]Planilha Orçamentária'!B27:J403,7,FALSE)*$K$1</f>
        <v>27.555749999999996</v>
      </c>
      <c r="L26" s="193">
        <f>K26*J26</f>
        <v>6613.3799999999992</v>
      </c>
      <c r="M26" s="211">
        <f>L26/$O$8</f>
        <v>3.951780082313245E-3</v>
      </c>
      <c r="N26" s="210"/>
      <c r="O26" s="209"/>
      <c r="P26" s="244">
        <v>240</v>
      </c>
      <c r="Q26" s="243">
        <v>34</v>
      </c>
      <c r="R26" s="242">
        <v>8160</v>
      </c>
      <c r="S26" s="258">
        <v>9993.5519999999997</v>
      </c>
      <c r="T26" s="218">
        <f>J26*$T$1</f>
        <v>26.707792496866624</v>
      </c>
      <c r="U26" s="219">
        <f>T26*K26</f>
        <v>735.95325309553232</v>
      </c>
      <c r="V26" s="208"/>
      <c r="W26" s="218">
        <f>T26</f>
        <v>26.707792496866624</v>
      </c>
      <c r="X26" s="219">
        <f>U26</f>
        <v>735.95325309553232</v>
      </c>
      <c r="Y26" s="208"/>
      <c r="Z26" s="218">
        <f>T26-W26</f>
        <v>0</v>
      </c>
      <c r="AA26" s="206">
        <f>L26-X26</f>
        <v>5877.4267469044671</v>
      </c>
      <c r="AB26" s="205"/>
    </row>
    <row r="27" spans="1:28" ht="25.5">
      <c r="A27" s="248"/>
      <c r="B27" s="248"/>
      <c r="C27" s="247"/>
      <c r="D27" s="247"/>
      <c r="E27" s="214" t="s">
        <v>919</v>
      </c>
      <c r="F27" s="214">
        <v>97063</v>
      </c>
      <c r="G27" s="214" t="s">
        <v>26</v>
      </c>
      <c r="H27" s="215" t="s">
        <v>918</v>
      </c>
      <c r="I27" s="214" t="s">
        <v>45</v>
      </c>
      <c r="J27" s="213">
        <f>VLOOKUP(F27,'[1]Planilha Orçamentária'!B27:J404,5,FALSE)</f>
        <v>240</v>
      </c>
      <c r="K27" s="212">
        <f>VLOOKUP(F27,'[1]Planilha Orçamentária'!B28:J404,7,FALSE)*$K$1</f>
        <v>27.381230249999994</v>
      </c>
      <c r="L27" s="193">
        <f>K27*J27</f>
        <v>6571.4952599999988</v>
      </c>
      <c r="M27" s="211">
        <f>L27/$O$8</f>
        <v>3.9267521417919275E-3</v>
      </c>
      <c r="N27" s="210"/>
      <c r="O27" s="209"/>
      <c r="P27" s="244">
        <v>240</v>
      </c>
      <c r="Q27" s="243">
        <v>29.65</v>
      </c>
      <c r="R27" s="242">
        <v>7116</v>
      </c>
      <c r="S27" s="258">
        <v>8714.9651999999987</v>
      </c>
      <c r="T27" s="207">
        <f>J27*$T$1</f>
        <v>26.707792496866624</v>
      </c>
      <c r="U27" s="206">
        <f>T27*K27</f>
        <v>731.29221582592731</v>
      </c>
      <c r="V27" s="208"/>
      <c r="W27" s="207">
        <f>T27</f>
        <v>26.707792496866624</v>
      </c>
      <c r="X27" s="206">
        <f>U27</f>
        <v>731.29221582592731</v>
      </c>
      <c r="Y27" s="208"/>
      <c r="Z27" s="207">
        <f>T27-W27</f>
        <v>0</v>
      </c>
      <c r="AA27" s="206">
        <f>L27-X27</f>
        <v>5840.2030441740717</v>
      </c>
      <c r="AB27" s="205"/>
    </row>
    <row r="28" spans="1:28" ht="26.25" thickBot="1">
      <c r="A28" s="246"/>
      <c r="B28" s="246"/>
      <c r="C28" s="245"/>
      <c r="D28" s="245"/>
      <c r="E28" s="201" t="s">
        <v>917</v>
      </c>
      <c r="F28" s="201">
        <v>97064</v>
      </c>
      <c r="G28" s="201" t="s">
        <v>26</v>
      </c>
      <c r="H28" s="202" t="s">
        <v>916</v>
      </c>
      <c r="I28" s="201" t="s">
        <v>88</v>
      </c>
      <c r="J28" s="200">
        <f>VLOOKUP(F28,'[1]Planilha Orçamentária'!B28:J405,5,FALSE)</f>
        <v>200</v>
      </c>
      <c r="K28" s="199">
        <f>VLOOKUP(F28,'[1]Planilha Orçamentária'!B29:J405,7,FALSE)*$K$1</f>
        <v>37.806488999999992</v>
      </c>
      <c r="L28" s="198">
        <f>K28*J28</f>
        <v>7561.2977999999985</v>
      </c>
      <c r="M28" s="197">
        <f>L28/$O$8</f>
        <v>4.5182018941114762E-3</v>
      </c>
      <c r="N28" s="196"/>
      <c r="O28" s="195"/>
      <c r="P28" s="257">
        <v>200</v>
      </c>
      <c r="Q28" s="256">
        <v>40.869999999999997</v>
      </c>
      <c r="R28" s="255">
        <v>8174</v>
      </c>
      <c r="S28" s="254">
        <v>10010.6978</v>
      </c>
      <c r="T28" s="189">
        <f>J28*$T$1</f>
        <v>22.256493747388852</v>
      </c>
      <c r="U28" s="188">
        <f>T28*K28</f>
        <v>841.43988603922526</v>
      </c>
      <c r="V28" s="190"/>
      <c r="W28" s="189">
        <f>T28</f>
        <v>22.256493747388852</v>
      </c>
      <c r="X28" s="188">
        <f>U28</f>
        <v>841.43988603922526</v>
      </c>
      <c r="Y28" s="190"/>
      <c r="Z28" s="189">
        <f>T28-W28</f>
        <v>0</v>
      </c>
      <c r="AA28" s="188">
        <f>L28-X28</f>
        <v>6719.8579139607737</v>
      </c>
      <c r="AB28" s="187"/>
    </row>
    <row r="29" spans="1:28" ht="12.75" customHeight="1">
      <c r="A29" s="239" t="s">
        <v>915</v>
      </c>
      <c r="B29" s="239">
        <v>3</v>
      </c>
      <c r="C29" s="252" t="s">
        <v>914</v>
      </c>
      <c r="D29" s="252" t="s">
        <v>913</v>
      </c>
      <c r="E29" s="237" t="s">
        <v>912</v>
      </c>
      <c r="F29" s="237">
        <v>98459</v>
      </c>
      <c r="G29" s="237" t="s">
        <v>26</v>
      </c>
      <c r="H29" s="251" t="s">
        <v>911</v>
      </c>
      <c r="I29" s="237" t="s">
        <v>45</v>
      </c>
      <c r="J29" s="250">
        <v>95.7</v>
      </c>
      <c r="K29" s="249">
        <f>80.49*K1</f>
        <v>98.576102999999989</v>
      </c>
      <c r="L29" s="232">
        <f>K29*J29</f>
        <v>9433.7330570999984</v>
      </c>
      <c r="M29" s="231">
        <f>L29/$O$8</f>
        <v>5.6370628025166885E-3</v>
      </c>
      <c r="N29" s="230">
        <f>SUM(L29:L32)</f>
        <v>21436.264566599999</v>
      </c>
      <c r="O29" s="229">
        <f>N29/$O$8</f>
        <v>1.2809093588072522E-2</v>
      </c>
      <c r="P29" s="262">
        <v>95.7</v>
      </c>
      <c r="Q29" s="261">
        <v>99.22</v>
      </c>
      <c r="R29" s="260">
        <v>9495.35</v>
      </c>
      <c r="S29" s="259">
        <v>11628.955145</v>
      </c>
      <c r="T29" s="222">
        <v>95.7</v>
      </c>
      <c r="U29" s="224">
        <f>T29*K29</f>
        <v>9433.7330570999984</v>
      </c>
      <c r="V29" s="223">
        <f>U29+U30+U31+U32</f>
        <v>21436.264566599999</v>
      </c>
      <c r="W29" s="222">
        <f>T29</f>
        <v>95.7</v>
      </c>
      <c r="X29" s="224">
        <f>U29</f>
        <v>9433.7330570999984</v>
      </c>
      <c r="Y29" s="223">
        <f>X29+X30+X31+X32</f>
        <v>21436.264566599999</v>
      </c>
      <c r="Z29" s="222">
        <f>T29-W29</f>
        <v>0</v>
      </c>
      <c r="AA29" s="221">
        <f>L29-X29</f>
        <v>0</v>
      </c>
      <c r="AB29" s="220">
        <f>AA29+AA30+AA31+AA32</f>
        <v>0</v>
      </c>
    </row>
    <row r="30" spans="1:28" ht="51">
      <c r="A30" s="217"/>
      <c r="B30" s="217"/>
      <c r="C30" s="247"/>
      <c r="D30" s="247"/>
      <c r="E30" s="214" t="s">
        <v>910</v>
      </c>
      <c r="F30" s="214" t="s">
        <v>909</v>
      </c>
      <c r="G30" s="214" t="s">
        <v>33</v>
      </c>
      <c r="H30" s="215" t="s">
        <v>908</v>
      </c>
      <c r="I30" s="214" t="s">
        <v>24</v>
      </c>
      <c r="J30" s="213">
        <v>1</v>
      </c>
      <c r="K30" s="212">
        <f>3882.35*K1</f>
        <v>4754.7140449999997</v>
      </c>
      <c r="L30" s="193">
        <f>K30*J30</f>
        <v>4754.7140449999997</v>
      </c>
      <c r="M30" s="211">
        <f>L30/$O$8</f>
        <v>2.8411469264016348E-3</v>
      </c>
      <c r="N30" s="210"/>
      <c r="O30" s="209"/>
      <c r="P30" s="244">
        <v>1</v>
      </c>
      <c r="Q30" s="243">
        <v>5139.2</v>
      </c>
      <c r="R30" s="242">
        <v>5139.2</v>
      </c>
      <c r="S30" s="258">
        <v>6293.9782399999995</v>
      </c>
      <c r="T30" s="218">
        <v>1</v>
      </c>
      <c r="U30" s="219">
        <f>T30*K30</f>
        <v>4754.7140449999997</v>
      </c>
      <c r="V30" s="208"/>
      <c r="W30" s="218">
        <f>T30</f>
        <v>1</v>
      </c>
      <c r="X30" s="219">
        <f>U30</f>
        <v>4754.7140449999997</v>
      </c>
      <c r="Y30" s="208"/>
      <c r="Z30" s="218">
        <f>T30-W30</f>
        <v>0</v>
      </c>
      <c r="AA30" s="206">
        <f>L30-X30</f>
        <v>0</v>
      </c>
      <c r="AB30" s="205"/>
    </row>
    <row r="31" spans="1:28" ht="25.5">
      <c r="A31" s="217"/>
      <c r="B31" s="217"/>
      <c r="C31" s="247"/>
      <c r="D31" s="247"/>
      <c r="E31" s="214" t="s">
        <v>907</v>
      </c>
      <c r="F31" s="214">
        <v>103689</v>
      </c>
      <c r="G31" s="214" t="s">
        <v>26</v>
      </c>
      <c r="H31" s="215" t="s">
        <v>906</v>
      </c>
      <c r="I31" s="214" t="s">
        <v>45</v>
      </c>
      <c r="J31" s="213">
        <v>8</v>
      </c>
      <c r="K31" s="212">
        <f>359.87*K1</f>
        <v>440.73278899999997</v>
      </c>
      <c r="L31" s="193">
        <f>K31*J31</f>
        <v>3525.8623119999997</v>
      </c>
      <c r="M31" s="211">
        <f>L31/$O$8</f>
        <v>2.1068549603289891E-3</v>
      </c>
      <c r="N31" s="210"/>
      <c r="O31" s="209"/>
      <c r="P31" s="244">
        <v>8</v>
      </c>
      <c r="Q31" s="243">
        <v>478.27</v>
      </c>
      <c r="R31" s="242">
        <v>3826.16</v>
      </c>
      <c r="S31" s="258">
        <v>4685.8981519999998</v>
      </c>
      <c r="T31" s="207">
        <v>8</v>
      </c>
      <c r="U31" s="206">
        <f>T31*K31</f>
        <v>3525.8623119999997</v>
      </c>
      <c r="V31" s="208"/>
      <c r="W31" s="207">
        <f>T31</f>
        <v>8</v>
      </c>
      <c r="X31" s="206">
        <f>U31</f>
        <v>3525.8623119999997</v>
      </c>
      <c r="Y31" s="208"/>
      <c r="Z31" s="207">
        <f>T31-W31</f>
        <v>0</v>
      </c>
      <c r="AA31" s="206">
        <f>L31-X31</f>
        <v>0</v>
      </c>
      <c r="AB31" s="205"/>
    </row>
    <row r="32" spans="1:28" ht="26.25" thickBot="1">
      <c r="A32" s="204"/>
      <c r="B32" s="204"/>
      <c r="C32" s="245"/>
      <c r="D32" s="245"/>
      <c r="E32" s="201" t="s">
        <v>905</v>
      </c>
      <c r="F32" s="201" t="s">
        <v>904</v>
      </c>
      <c r="G32" s="201" t="s">
        <v>33</v>
      </c>
      <c r="H32" s="202" t="s">
        <v>903</v>
      </c>
      <c r="I32" s="201" t="s">
        <v>45</v>
      </c>
      <c r="J32" s="200">
        <f>VLOOKUP(F32,'[1]Planilha Orçamentária'!B32:J409,5,FALSE)</f>
        <v>390</v>
      </c>
      <c r="K32" s="199">
        <f>VLOOKUP(F32,'[1]Planilha Orçamentária'!B33:J409,7,FALSE)*$K$1</f>
        <v>9.5434747499999997</v>
      </c>
      <c r="L32" s="198">
        <f>K32*J32</f>
        <v>3721.9551524999997</v>
      </c>
      <c r="M32" s="197">
        <f>L32/$O$8</f>
        <v>2.2240288988252086E-3</v>
      </c>
      <c r="N32" s="196"/>
      <c r="O32" s="195"/>
      <c r="P32" s="257">
        <v>390</v>
      </c>
      <c r="Q32" s="256">
        <v>10.39</v>
      </c>
      <c r="R32" s="255">
        <v>4052.1</v>
      </c>
      <c r="S32" s="254">
        <v>4962.6068699999996</v>
      </c>
      <c r="T32" s="189">
        <v>390</v>
      </c>
      <c r="U32" s="188">
        <f>T32*K32</f>
        <v>3721.9551524999997</v>
      </c>
      <c r="V32" s="190"/>
      <c r="W32" s="189">
        <f>T32</f>
        <v>390</v>
      </c>
      <c r="X32" s="188">
        <f>U32</f>
        <v>3721.9551524999997</v>
      </c>
      <c r="Y32" s="190"/>
      <c r="Z32" s="189">
        <f>T32-W32</f>
        <v>0</v>
      </c>
      <c r="AA32" s="188">
        <f>L32-X32</f>
        <v>0</v>
      </c>
      <c r="AB32" s="187"/>
    </row>
    <row r="33" spans="1:28" ht="38.450000000000003" customHeight="1">
      <c r="A33" s="80" t="s">
        <v>902</v>
      </c>
      <c r="B33" s="80">
        <v>3</v>
      </c>
      <c r="C33" s="79" t="s">
        <v>901</v>
      </c>
      <c r="D33" s="79" t="s">
        <v>900</v>
      </c>
      <c r="E33" s="77" t="s">
        <v>899</v>
      </c>
      <c r="F33" s="77">
        <v>93358</v>
      </c>
      <c r="G33" s="77" t="s">
        <v>26</v>
      </c>
      <c r="H33" s="78" t="s">
        <v>898</v>
      </c>
      <c r="I33" s="77" t="s">
        <v>752</v>
      </c>
      <c r="J33" s="76">
        <f>VLOOKUP(F33,'[1]Planilha Orçamentária'!B33:J410,5,FALSE)</f>
        <v>29.56</v>
      </c>
      <c r="K33" s="75">
        <f>VLOOKUP(F33,'[1]Planilha Orçamentária'!B34:J410,7,FALSE)*$K$1</f>
        <v>114.05324924999999</v>
      </c>
      <c r="L33" s="74">
        <f>K33*J33</f>
        <v>3371.4140478299996</v>
      </c>
      <c r="M33" s="73">
        <f>L33/$O$8</f>
        <v>2.0145654541922084E-3</v>
      </c>
      <c r="N33" s="134">
        <f>SUM(L33:L36)</f>
        <v>15067.580912534999</v>
      </c>
      <c r="O33" s="71">
        <f>N33/$O$8</f>
        <v>9.0035301372065491E-3</v>
      </c>
      <c r="P33" s="51">
        <v>29.56</v>
      </c>
      <c r="Q33" s="50">
        <v>121.16</v>
      </c>
      <c r="R33" s="49">
        <v>3581.48</v>
      </c>
      <c r="S33" s="48">
        <v>4386.2385559999993</v>
      </c>
      <c r="T33" s="64">
        <v>0</v>
      </c>
      <c r="U33" s="66">
        <f>T33*K33</f>
        <v>0</v>
      </c>
      <c r="V33" s="100">
        <f>U33+U34+U35+U36</f>
        <v>0</v>
      </c>
      <c r="W33" s="64">
        <f>T33</f>
        <v>0</v>
      </c>
      <c r="X33" s="66">
        <f>U33</f>
        <v>0</v>
      </c>
      <c r="Y33" s="100">
        <f>X33+X34+X35+X36</f>
        <v>0</v>
      </c>
      <c r="Z33" s="64">
        <f>T33-W33</f>
        <v>0</v>
      </c>
      <c r="AA33" s="63">
        <f>L33-X33</f>
        <v>3371.4140478299996</v>
      </c>
      <c r="AB33" s="99">
        <f>AA33+AA34+AA35+AA36</f>
        <v>15067.580912534999</v>
      </c>
    </row>
    <row r="34" spans="1:28" ht="31.9" customHeight="1">
      <c r="A34" s="61"/>
      <c r="B34" s="61"/>
      <c r="C34" s="60"/>
      <c r="D34" s="60"/>
      <c r="E34" s="58" t="s">
        <v>897</v>
      </c>
      <c r="F34" s="58">
        <v>101619</v>
      </c>
      <c r="G34" s="58" t="s">
        <v>26</v>
      </c>
      <c r="H34" s="59" t="s">
        <v>896</v>
      </c>
      <c r="I34" s="58" t="s">
        <v>752</v>
      </c>
      <c r="J34" s="57">
        <f>VLOOKUP(F34,'[1]Planilha Orçamentária'!B34:J411,5,FALSE)</f>
        <v>1.67</v>
      </c>
      <c r="K34" s="56">
        <f>VLOOKUP(F34,'[1]Planilha Orçamentária'!B35:J411,7,FALSE)*$K$1</f>
        <v>331.89982349999997</v>
      </c>
      <c r="L34" s="55">
        <f>K34*J34</f>
        <v>554.27270524499988</v>
      </c>
      <c r="M34" s="54">
        <f>L34/$O$8</f>
        <v>3.3120187207707265E-4</v>
      </c>
      <c r="N34" s="131"/>
      <c r="O34" s="52"/>
      <c r="P34" s="51">
        <v>1.67</v>
      </c>
      <c r="Q34" s="50">
        <v>356.4</v>
      </c>
      <c r="R34" s="49">
        <v>595.17999999999995</v>
      </c>
      <c r="S34" s="48">
        <v>728.91694599999983</v>
      </c>
      <c r="T34" s="45">
        <v>0</v>
      </c>
      <c r="U34" s="47">
        <f>T34*K34</f>
        <v>0</v>
      </c>
      <c r="V34" s="83"/>
      <c r="W34" s="45">
        <f>T34</f>
        <v>0</v>
      </c>
      <c r="X34" s="47">
        <f>U34</f>
        <v>0</v>
      </c>
      <c r="Y34" s="83"/>
      <c r="Z34" s="45">
        <f>T34-W34</f>
        <v>0</v>
      </c>
      <c r="AA34" s="44">
        <f>L34-X34</f>
        <v>554.27270524499988</v>
      </c>
      <c r="AB34" s="81"/>
    </row>
    <row r="35" spans="1:28" ht="36" customHeight="1">
      <c r="A35" s="61"/>
      <c r="B35" s="61"/>
      <c r="C35" s="60"/>
      <c r="D35" s="60"/>
      <c r="E35" s="58" t="s">
        <v>895</v>
      </c>
      <c r="F35" s="58">
        <v>93382</v>
      </c>
      <c r="G35" s="58" t="s">
        <v>26</v>
      </c>
      <c r="H35" s="59" t="s">
        <v>894</v>
      </c>
      <c r="I35" s="58" t="s">
        <v>752</v>
      </c>
      <c r="J35" s="57">
        <f>VLOOKUP(F35,'[1]Planilha Orçamentária'!B35:J412,5,FALSE)</f>
        <v>99.28</v>
      </c>
      <c r="K35" s="56">
        <f>VLOOKUP(F35,'[1]Planilha Orçamentária'!B36:J412,7,FALSE)*$K$1</f>
        <v>33.599644499999997</v>
      </c>
      <c r="L35" s="55">
        <f>K35*J35</f>
        <v>3335.7727059599997</v>
      </c>
      <c r="M35" s="54">
        <f>L35/$O$8</f>
        <v>1.9932682136119331E-3</v>
      </c>
      <c r="N35" s="131"/>
      <c r="O35" s="52"/>
      <c r="P35" s="51">
        <v>99.28</v>
      </c>
      <c r="Q35" s="50">
        <v>36.08</v>
      </c>
      <c r="R35" s="49">
        <v>3582.02</v>
      </c>
      <c r="S35" s="48">
        <v>4386.8998939999992</v>
      </c>
      <c r="T35" s="82">
        <v>0</v>
      </c>
      <c r="U35" s="44">
        <f>T35*K35</f>
        <v>0</v>
      </c>
      <c r="V35" s="83"/>
      <c r="W35" s="82">
        <f>T35</f>
        <v>0</v>
      </c>
      <c r="X35" s="44">
        <f>U35</f>
        <v>0</v>
      </c>
      <c r="Y35" s="83"/>
      <c r="Z35" s="82">
        <f>T35-W35</f>
        <v>0</v>
      </c>
      <c r="AA35" s="44">
        <f>L35-X35</f>
        <v>3335.7727059599997</v>
      </c>
      <c r="AB35" s="81"/>
    </row>
    <row r="36" spans="1:28" ht="25.5" customHeight="1" thickBot="1">
      <c r="A36" s="42"/>
      <c r="B36" s="42"/>
      <c r="C36" s="41"/>
      <c r="D36" s="41"/>
      <c r="E36" s="39" t="s">
        <v>893</v>
      </c>
      <c r="F36" s="39">
        <v>94319</v>
      </c>
      <c r="G36" s="39" t="s">
        <v>26</v>
      </c>
      <c r="H36" s="40" t="s">
        <v>892</v>
      </c>
      <c r="I36" s="39" t="s">
        <v>752</v>
      </c>
      <c r="J36" s="38">
        <f>VLOOKUP(F36,'[1]Planilha Orçamentária'!B36:J413,5,FALSE)</f>
        <v>94</v>
      </c>
      <c r="K36" s="37">
        <f>VLOOKUP(F36,'[1]Planilha Orçamentária'!B37:J413,7,FALSE)*$K$1</f>
        <v>83.043845250000004</v>
      </c>
      <c r="L36" s="36">
        <f>K36*J36</f>
        <v>7806.1214534999999</v>
      </c>
      <c r="M36" s="35">
        <f>L36/$O$8</f>
        <v>4.664494597325335E-3</v>
      </c>
      <c r="N36" s="128"/>
      <c r="O36" s="33"/>
      <c r="P36" s="51">
        <v>94</v>
      </c>
      <c r="Q36" s="50">
        <v>89.91</v>
      </c>
      <c r="R36" s="49">
        <v>8451.5400000000009</v>
      </c>
      <c r="S36" s="48">
        <v>10350.601038000001</v>
      </c>
      <c r="T36" s="27">
        <v>0</v>
      </c>
      <c r="U36" s="26">
        <f>T36*K36</f>
        <v>0</v>
      </c>
      <c r="V36" s="103"/>
      <c r="W36" s="27">
        <f>T36</f>
        <v>0</v>
      </c>
      <c r="X36" s="26">
        <f>U36</f>
        <v>0</v>
      </c>
      <c r="Y36" s="103"/>
      <c r="Z36" s="27">
        <f>T36-W36</f>
        <v>0</v>
      </c>
      <c r="AA36" s="26">
        <f>L36-X36</f>
        <v>7806.1214534999999</v>
      </c>
      <c r="AB36" s="102"/>
    </row>
    <row r="37" spans="1:28" ht="51">
      <c r="A37" s="253" t="s">
        <v>891</v>
      </c>
      <c r="B37" s="253">
        <v>3</v>
      </c>
      <c r="C37" s="252" t="s">
        <v>890</v>
      </c>
      <c r="D37" s="252" t="s">
        <v>889</v>
      </c>
      <c r="E37" s="237" t="s">
        <v>888</v>
      </c>
      <c r="F37" s="237" t="s">
        <v>887</v>
      </c>
      <c r="G37" s="237" t="s">
        <v>33</v>
      </c>
      <c r="H37" s="251" t="s">
        <v>886</v>
      </c>
      <c r="I37" s="237" t="s">
        <v>885</v>
      </c>
      <c r="J37" s="250">
        <f>VLOOKUP(F37,'[1]Planilha Orçamentária'!B37:J414,5,FALSE)</f>
        <v>582.03</v>
      </c>
      <c r="K37" s="249">
        <f>VLOOKUP(F37,'[1]Planilha Orçamentária'!B38:J414,7,FALSE)*$K$1</f>
        <v>2.1309779999999994</v>
      </c>
      <c r="L37" s="232">
        <f>K37*J37</f>
        <v>1240.2931253399995</v>
      </c>
      <c r="M37" s="231">
        <f>L37/$O$8</f>
        <v>7.4112869197727265E-4</v>
      </c>
      <c r="N37" s="230">
        <f>SUM(L37:L43)</f>
        <v>56784.804640102491</v>
      </c>
      <c r="O37" s="229">
        <f>N37/$O$8</f>
        <v>3.3931372453239614E-2</v>
      </c>
      <c r="P37" s="244">
        <v>582.03</v>
      </c>
      <c r="Q37" s="243">
        <v>2.35</v>
      </c>
      <c r="R37" s="242">
        <v>1367.77</v>
      </c>
      <c r="S37" s="241">
        <v>1675.1079189999998</v>
      </c>
      <c r="T37" s="222">
        <v>582.03</v>
      </c>
      <c r="U37" s="224">
        <f>T37*K37</f>
        <v>1240.2931253399995</v>
      </c>
      <c r="V37" s="223">
        <f>U37+U38+U39+U40+U41+U42+U43</f>
        <v>56784.804640102491</v>
      </c>
      <c r="W37" s="222">
        <f>T37</f>
        <v>582.03</v>
      </c>
      <c r="X37" s="224">
        <f>U37</f>
        <v>1240.2931253399995</v>
      </c>
      <c r="Y37" s="223">
        <f>X37+X38+X39+X40+X41+X42+X43</f>
        <v>56784.804640102491</v>
      </c>
      <c r="Z37" s="222">
        <f>T37-W37</f>
        <v>0</v>
      </c>
      <c r="AA37" s="221">
        <f>L37-X37</f>
        <v>0</v>
      </c>
      <c r="AB37" s="220">
        <f>AA37+AA38+AA39+AA40+AA41+AA42+AA43</f>
        <v>0</v>
      </c>
    </row>
    <row r="38" spans="1:28" ht="38.25">
      <c r="A38" s="248"/>
      <c r="B38" s="248"/>
      <c r="C38" s="247"/>
      <c r="D38" s="247"/>
      <c r="E38" s="214" t="s">
        <v>884</v>
      </c>
      <c r="F38" s="214" t="s">
        <v>883</v>
      </c>
      <c r="G38" s="214" t="s">
        <v>33</v>
      </c>
      <c r="H38" s="215" t="s">
        <v>882</v>
      </c>
      <c r="I38" s="214" t="s">
        <v>881</v>
      </c>
      <c r="J38" s="213">
        <f>VLOOKUP(F38,'[1]Planilha Orçamentária'!B38:J415,5,FALSE)</f>
        <v>11.64</v>
      </c>
      <c r="K38" s="212">
        <f>VLOOKUP(F38,'[1]Planilha Orçamentária'!B39:J415,7,FALSE)*$K$1</f>
        <v>112.05086474999999</v>
      </c>
      <c r="L38" s="193">
        <f>K38*J38</f>
        <v>1304.2720656899999</v>
      </c>
      <c r="M38" s="211">
        <f>L38/$O$8</f>
        <v>7.7935887112358501E-4</v>
      </c>
      <c r="N38" s="210"/>
      <c r="O38" s="209"/>
      <c r="P38" s="244">
        <v>11.64</v>
      </c>
      <c r="Q38" s="243">
        <v>121.91</v>
      </c>
      <c r="R38" s="242">
        <v>1419.03</v>
      </c>
      <c r="S38" s="241">
        <v>1737.8860409999998</v>
      </c>
      <c r="T38" s="218">
        <v>11.64</v>
      </c>
      <c r="U38" s="219">
        <f>T38*K38</f>
        <v>1304.2720656899999</v>
      </c>
      <c r="V38" s="208"/>
      <c r="W38" s="218">
        <f>T38</f>
        <v>11.64</v>
      </c>
      <c r="X38" s="219">
        <f>U38</f>
        <v>1304.2720656899999</v>
      </c>
      <c r="Y38" s="208"/>
      <c r="Z38" s="218">
        <f>T38-W38</f>
        <v>0</v>
      </c>
      <c r="AA38" s="206">
        <f>L38-X38</f>
        <v>0</v>
      </c>
      <c r="AB38" s="205"/>
    </row>
    <row r="39" spans="1:28" ht="25.5">
      <c r="A39" s="248"/>
      <c r="B39" s="248"/>
      <c r="C39" s="247"/>
      <c r="D39" s="247"/>
      <c r="E39" s="214" t="s">
        <v>880</v>
      </c>
      <c r="F39" s="214" t="s">
        <v>879</v>
      </c>
      <c r="G39" s="214" t="s">
        <v>33</v>
      </c>
      <c r="H39" s="215" t="s">
        <v>878</v>
      </c>
      <c r="I39" s="214" t="s">
        <v>752</v>
      </c>
      <c r="J39" s="213">
        <f>VLOOKUP(F39,'[1]Planilha Orçamentária'!B39:J416,5,FALSE)</f>
        <v>49.69</v>
      </c>
      <c r="K39" s="212">
        <f>VLOOKUP(F39,'[1]Planilha Orçamentária'!B40:J416,7,FALSE)*$K$1</f>
        <v>26.738262749999997</v>
      </c>
      <c r="L39" s="193">
        <f>K39*J39</f>
        <v>1328.6242760474997</v>
      </c>
      <c r="M39" s="211">
        <f>L39/$O$8</f>
        <v>7.9391036821751734E-4</v>
      </c>
      <c r="N39" s="210"/>
      <c r="O39" s="209"/>
      <c r="P39" s="244">
        <v>49.69</v>
      </c>
      <c r="Q39" s="243">
        <v>29.11</v>
      </c>
      <c r="R39" s="242">
        <v>1446.47</v>
      </c>
      <c r="S39" s="241">
        <v>1771.4918089999999</v>
      </c>
      <c r="T39" s="207">
        <v>49.69</v>
      </c>
      <c r="U39" s="206">
        <f>T39*K39</f>
        <v>1328.6242760474997</v>
      </c>
      <c r="V39" s="208"/>
      <c r="W39" s="207">
        <f>T39</f>
        <v>49.69</v>
      </c>
      <c r="X39" s="206">
        <f>U39</f>
        <v>1328.6242760474997</v>
      </c>
      <c r="Y39" s="208"/>
      <c r="Z39" s="207">
        <f>T39-W39</f>
        <v>0</v>
      </c>
      <c r="AA39" s="206">
        <f>L39-X39</f>
        <v>0</v>
      </c>
      <c r="AB39" s="205"/>
    </row>
    <row r="40" spans="1:28" ht="38.25">
      <c r="A40" s="248"/>
      <c r="B40" s="248"/>
      <c r="C40" s="247"/>
      <c r="D40" s="247"/>
      <c r="E40" s="214" t="s">
        <v>877</v>
      </c>
      <c r="F40" s="214" t="s">
        <v>876</v>
      </c>
      <c r="G40" s="214" t="s">
        <v>33</v>
      </c>
      <c r="H40" s="215" t="s">
        <v>875</v>
      </c>
      <c r="I40" s="214" t="s">
        <v>24</v>
      </c>
      <c r="J40" s="213">
        <f>VLOOKUP(F40,'[1]Planilha Orçamentária'!B40:J417,5,FALSE)</f>
        <v>10</v>
      </c>
      <c r="K40" s="212">
        <f>VLOOKUP(F40,'[1]Planilha Orçamentária'!B41:J417,7,FALSE)*$K$1</f>
        <v>332.93775675000001</v>
      </c>
      <c r="L40" s="193">
        <f>K40*J40</f>
        <v>3329.3775675000002</v>
      </c>
      <c r="M40" s="211">
        <f>L40/$O$8</f>
        <v>1.9894468422723363E-3</v>
      </c>
      <c r="N40" s="210"/>
      <c r="O40" s="209"/>
      <c r="P40" s="244">
        <v>10</v>
      </c>
      <c r="Q40" s="243">
        <v>362.47</v>
      </c>
      <c r="R40" s="242">
        <v>3624.7</v>
      </c>
      <c r="S40" s="241">
        <v>4439.1700899999996</v>
      </c>
      <c r="T40" s="207">
        <v>10</v>
      </c>
      <c r="U40" s="206">
        <f>T40*K40</f>
        <v>3329.3775675000002</v>
      </c>
      <c r="V40" s="208"/>
      <c r="W40" s="207">
        <f>T40</f>
        <v>10</v>
      </c>
      <c r="X40" s="206">
        <f>U40</f>
        <v>3329.3775675000002</v>
      </c>
      <c r="Y40" s="208"/>
      <c r="Z40" s="207">
        <f>T40-W40</f>
        <v>0</v>
      </c>
      <c r="AA40" s="206">
        <f>L40-X40</f>
        <v>0</v>
      </c>
      <c r="AB40" s="205"/>
    </row>
    <row r="41" spans="1:28" ht="38.25">
      <c r="A41" s="248"/>
      <c r="B41" s="248"/>
      <c r="C41" s="247"/>
      <c r="D41" s="247"/>
      <c r="E41" s="214" t="s">
        <v>874</v>
      </c>
      <c r="F41" s="214" t="s">
        <v>873</v>
      </c>
      <c r="G41" s="214" t="s">
        <v>33</v>
      </c>
      <c r="H41" s="215" t="s">
        <v>872</v>
      </c>
      <c r="I41" s="214" t="s">
        <v>752</v>
      </c>
      <c r="J41" s="213">
        <f>VLOOKUP(F41,'[1]Planilha Orçamentária'!B41:J418,5,FALSE)</f>
        <v>45.7</v>
      </c>
      <c r="K41" s="212">
        <f>VLOOKUP(F41,'[1]Planilha Orçamentária'!B42:J418,7,FALSE)*$K$1</f>
        <v>361.25588249999998</v>
      </c>
      <c r="L41" s="193">
        <f>K41*J41</f>
        <v>16509.393830249999</v>
      </c>
      <c r="M41" s="211">
        <f>L41/$O$8</f>
        <v>9.8650756057336985E-3</v>
      </c>
      <c r="N41" s="210"/>
      <c r="O41" s="209"/>
      <c r="P41" s="244">
        <v>45.7</v>
      </c>
      <c r="Q41" s="243">
        <v>393.3</v>
      </c>
      <c r="R41" s="242">
        <v>17973.810000000001</v>
      </c>
      <c r="S41" s="241">
        <v>22012.525107000001</v>
      </c>
      <c r="T41" s="207">
        <v>45.7</v>
      </c>
      <c r="U41" s="206">
        <f>T41*K41</f>
        <v>16509.393830249999</v>
      </c>
      <c r="V41" s="208"/>
      <c r="W41" s="207">
        <f>T41</f>
        <v>45.7</v>
      </c>
      <c r="X41" s="206">
        <f>U41</f>
        <v>16509.393830249999</v>
      </c>
      <c r="Y41" s="208"/>
      <c r="Z41" s="207">
        <f>T41-W41</f>
        <v>0</v>
      </c>
      <c r="AA41" s="206">
        <f>L41-X41</f>
        <v>0</v>
      </c>
      <c r="AB41" s="205"/>
    </row>
    <row r="42" spans="1:28" ht="25.5">
      <c r="A42" s="248"/>
      <c r="B42" s="248"/>
      <c r="C42" s="247"/>
      <c r="D42" s="247"/>
      <c r="E42" s="214" t="s">
        <v>871</v>
      </c>
      <c r="F42" s="214" t="s">
        <v>870</v>
      </c>
      <c r="G42" s="214" t="s">
        <v>33</v>
      </c>
      <c r="H42" s="215" t="s">
        <v>869</v>
      </c>
      <c r="I42" s="214" t="s">
        <v>319</v>
      </c>
      <c r="J42" s="213">
        <f>VLOOKUP(F42,'[1]Planilha Orçamentária'!B42:J419,5,FALSE)</f>
        <v>11640.78</v>
      </c>
      <c r="K42" s="212">
        <f>VLOOKUP(F42,'[1]Planilha Orçamentária'!B43:J419,7,FALSE)*$K$1</f>
        <v>2.8198717499999995</v>
      </c>
      <c r="L42" s="193">
        <f>K42*J42</f>
        <v>32825.506669964998</v>
      </c>
      <c r="M42" s="211">
        <f>L42/$O$8</f>
        <v>1.9614657474726731E-2</v>
      </c>
      <c r="N42" s="210"/>
      <c r="O42" s="209"/>
      <c r="P42" s="244">
        <v>11640.78</v>
      </c>
      <c r="Q42" s="243">
        <v>3.07</v>
      </c>
      <c r="R42" s="242">
        <v>35737.19</v>
      </c>
      <c r="S42" s="241">
        <v>43767.336593</v>
      </c>
      <c r="T42" s="207">
        <v>11640.78</v>
      </c>
      <c r="U42" s="206">
        <f>T42*K42</f>
        <v>32825.506669964998</v>
      </c>
      <c r="V42" s="208"/>
      <c r="W42" s="207">
        <f>T42</f>
        <v>11640.78</v>
      </c>
      <c r="X42" s="206">
        <f>U42</f>
        <v>32825.506669964998</v>
      </c>
      <c r="Y42" s="208"/>
      <c r="Z42" s="207">
        <f>T42-W42</f>
        <v>0</v>
      </c>
      <c r="AA42" s="206">
        <f>L42-X42</f>
        <v>0</v>
      </c>
      <c r="AB42" s="205"/>
    </row>
    <row r="43" spans="1:28" ht="26.25" thickBot="1">
      <c r="A43" s="246"/>
      <c r="B43" s="246"/>
      <c r="C43" s="245"/>
      <c r="D43" s="245"/>
      <c r="E43" s="201" t="s">
        <v>868</v>
      </c>
      <c r="F43" s="201">
        <v>97622</v>
      </c>
      <c r="G43" s="201" t="s">
        <v>26</v>
      </c>
      <c r="H43" s="202" t="s">
        <v>867</v>
      </c>
      <c r="I43" s="201" t="s">
        <v>752</v>
      </c>
      <c r="J43" s="200">
        <f>VLOOKUP(F43,'[1]Planilha Orçamentária'!B43:J420,5,FALSE)</f>
        <v>3.24</v>
      </c>
      <c r="K43" s="199">
        <f>VLOOKUP(F43,'[1]Planilha Orçamentária'!B44:J420,7,FALSE)*$K$1</f>
        <v>76.338612749999996</v>
      </c>
      <c r="L43" s="198">
        <f>K43*J43</f>
        <v>247.33710531</v>
      </c>
      <c r="M43" s="197">
        <f>L43/$O$8</f>
        <v>1.4779459918847423E-4</v>
      </c>
      <c r="N43" s="196"/>
      <c r="O43" s="195"/>
      <c r="P43" s="244">
        <v>3.24</v>
      </c>
      <c r="Q43" s="243">
        <v>81.14</v>
      </c>
      <c r="R43" s="242">
        <v>262.89</v>
      </c>
      <c r="S43" s="241">
        <v>321.96138299999996</v>
      </c>
      <c r="T43" s="189">
        <v>3.24</v>
      </c>
      <c r="U43" s="188">
        <f>T43*K43</f>
        <v>247.33710531</v>
      </c>
      <c r="V43" s="190"/>
      <c r="W43" s="189">
        <f>T43</f>
        <v>3.24</v>
      </c>
      <c r="X43" s="188">
        <f>U43</f>
        <v>247.33710531</v>
      </c>
      <c r="Y43" s="190"/>
      <c r="Z43" s="189">
        <f>T43-W43</f>
        <v>0</v>
      </c>
      <c r="AA43" s="188">
        <f>L43-X43</f>
        <v>0</v>
      </c>
      <c r="AB43" s="187"/>
    </row>
    <row r="44" spans="1:28" ht="18" customHeight="1">
      <c r="A44" s="101" t="s">
        <v>866</v>
      </c>
      <c r="B44" s="101">
        <v>12</v>
      </c>
      <c r="C44" s="126" t="s">
        <v>865</v>
      </c>
      <c r="D44" s="79" t="s">
        <v>864</v>
      </c>
      <c r="E44" s="77" t="s">
        <v>863</v>
      </c>
      <c r="F44" s="77">
        <v>99825</v>
      </c>
      <c r="G44" s="77" t="s">
        <v>26</v>
      </c>
      <c r="H44" s="78" t="s">
        <v>862</v>
      </c>
      <c r="I44" s="77" t="s">
        <v>45</v>
      </c>
      <c r="J44" s="76">
        <f>VLOOKUP(F44,'[1]Planilha Orçamentária'!B44:J421,5,FALSE)</f>
        <v>51.05</v>
      </c>
      <c r="K44" s="75">
        <f>VLOOKUP(F44,'[1]Planilha Orçamentária'!B45:J421,7,FALSE)*$K$1</f>
        <v>4.4732167499999997</v>
      </c>
      <c r="L44" s="74">
        <f>K44*J44</f>
        <v>228.35771508749997</v>
      </c>
      <c r="M44" s="73">
        <f>L44/$O$8</f>
        <v>1.3645359409641443E-4</v>
      </c>
      <c r="N44" s="134">
        <f>SUM(L44:L50)</f>
        <v>2392.8776762174998</v>
      </c>
      <c r="O44" s="71">
        <f>N44/$O$8</f>
        <v>1.4298477239003836E-3</v>
      </c>
      <c r="P44" s="51">
        <v>51.05</v>
      </c>
      <c r="Q44" s="50">
        <v>4.83</v>
      </c>
      <c r="R44" s="49">
        <v>246.57</v>
      </c>
      <c r="S44" s="48">
        <v>301.97427899999997</v>
      </c>
      <c r="T44" s="64">
        <v>0</v>
      </c>
      <c r="U44" s="66">
        <f>T44*K44</f>
        <v>0</v>
      </c>
      <c r="V44" s="100">
        <f>U44+U45+U46+U47+U48+U49+U50</f>
        <v>0</v>
      </c>
      <c r="W44" s="64">
        <f>T44</f>
        <v>0</v>
      </c>
      <c r="X44" s="66">
        <f>U44</f>
        <v>0</v>
      </c>
      <c r="Y44" s="100">
        <f>X44+X45+X46+X47+X48+X49+X50</f>
        <v>0</v>
      </c>
      <c r="Z44" s="64">
        <f>T44-W44</f>
        <v>0</v>
      </c>
      <c r="AA44" s="63">
        <f>L44-X44</f>
        <v>228.35771508749997</v>
      </c>
      <c r="AB44" s="99">
        <f>AA44+AA45+AA46+AA47+AA48+AA49+AA50</f>
        <v>2392.8776762174998</v>
      </c>
    </row>
    <row r="45" spans="1:28" ht="21" customHeight="1">
      <c r="A45" s="98"/>
      <c r="B45" s="98"/>
      <c r="C45" s="124"/>
      <c r="D45" s="60"/>
      <c r="E45" s="58" t="s">
        <v>861</v>
      </c>
      <c r="F45" s="58">
        <v>99821</v>
      </c>
      <c r="G45" s="58" t="s">
        <v>26</v>
      </c>
      <c r="H45" s="59" t="s">
        <v>860</v>
      </c>
      <c r="I45" s="58" t="s">
        <v>45</v>
      </c>
      <c r="J45" s="57">
        <f>VLOOKUP(F45,'[1]Planilha Orçamentária'!B45:J422,5,FALSE)</f>
        <v>64.17</v>
      </c>
      <c r="K45" s="56">
        <f>VLOOKUP(F45,'[1]Planilha Orçamentária'!B46:J422,7,FALSE)*$K$1</f>
        <v>3.7751377500000003</v>
      </c>
      <c r="L45" s="55">
        <f>K45*J45</f>
        <v>242.25058941750004</v>
      </c>
      <c r="M45" s="54">
        <f>L45/$O$8</f>
        <v>1.4475518633266508E-4</v>
      </c>
      <c r="N45" s="131"/>
      <c r="O45" s="52"/>
      <c r="P45" s="51">
        <v>64.17</v>
      </c>
      <c r="Q45" s="50">
        <v>4.09</v>
      </c>
      <c r="R45" s="49">
        <v>262.45</v>
      </c>
      <c r="S45" s="48">
        <v>321.42251499999998</v>
      </c>
      <c r="T45" s="45">
        <v>0</v>
      </c>
      <c r="U45" s="47">
        <f>T45*K45</f>
        <v>0</v>
      </c>
      <c r="V45" s="83"/>
      <c r="W45" s="45">
        <f>T45</f>
        <v>0</v>
      </c>
      <c r="X45" s="47">
        <f>U45</f>
        <v>0</v>
      </c>
      <c r="Y45" s="83"/>
      <c r="Z45" s="45">
        <f>T45-W45</f>
        <v>0</v>
      </c>
      <c r="AA45" s="44">
        <f>L45-X45</f>
        <v>242.25058941750004</v>
      </c>
      <c r="AB45" s="81"/>
    </row>
    <row r="46" spans="1:28" ht="23.45" customHeight="1">
      <c r="A46" s="98"/>
      <c r="B46" s="98"/>
      <c r="C46" s="124"/>
      <c r="D46" s="60"/>
      <c r="E46" s="58" t="s">
        <v>859</v>
      </c>
      <c r="F46" s="58">
        <v>99803</v>
      </c>
      <c r="G46" s="58" t="s">
        <v>26</v>
      </c>
      <c r="H46" s="59" t="s">
        <v>858</v>
      </c>
      <c r="I46" s="58" t="s">
        <v>45</v>
      </c>
      <c r="J46" s="57">
        <f>VLOOKUP(F46,'[1]Planilha Orçamentária'!B46:J423,5,FALSE)</f>
        <v>205</v>
      </c>
      <c r="K46" s="56">
        <f>VLOOKUP(F46,'[1]Planilha Orçamentária'!B47:J423,7,FALSE)*$K$1</f>
        <v>2.792316</v>
      </c>
      <c r="L46" s="55">
        <f>K46*J46</f>
        <v>572.42478000000006</v>
      </c>
      <c r="M46" s="54">
        <f>L46/$O$8</f>
        <v>3.4204852045800207E-4</v>
      </c>
      <c r="N46" s="131"/>
      <c r="O46" s="52"/>
      <c r="P46" s="51">
        <v>205</v>
      </c>
      <c r="Q46" s="50">
        <v>2.97</v>
      </c>
      <c r="R46" s="49">
        <v>608.85</v>
      </c>
      <c r="S46" s="48">
        <v>745.65859499999999</v>
      </c>
      <c r="T46" s="82">
        <v>0</v>
      </c>
      <c r="U46" s="44">
        <f>T46*K46</f>
        <v>0</v>
      </c>
      <c r="V46" s="83"/>
      <c r="W46" s="82">
        <f>T46</f>
        <v>0</v>
      </c>
      <c r="X46" s="44">
        <f>U46</f>
        <v>0</v>
      </c>
      <c r="Y46" s="83"/>
      <c r="Z46" s="82">
        <f>T46-W46</f>
        <v>0</v>
      </c>
      <c r="AA46" s="44">
        <f>L46-X46</f>
        <v>572.42478000000006</v>
      </c>
      <c r="AB46" s="81"/>
    </row>
    <row r="47" spans="1:28" ht="23.45" customHeight="1">
      <c r="A47" s="98"/>
      <c r="B47" s="98"/>
      <c r="C47" s="124"/>
      <c r="D47" s="60"/>
      <c r="E47" s="58" t="s">
        <v>857</v>
      </c>
      <c r="F47" s="58">
        <v>99818</v>
      </c>
      <c r="G47" s="58" t="s">
        <v>26</v>
      </c>
      <c r="H47" s="59" t="s">
        <v>856</v>
      </c>
      <c r="I47" s="58" t="s">
        <v>24</v>
      </c>
      <c r="J47" s="57">
        <f>VLOOKUP(F47,'[1]Planilha Orçamentária'!B47:J424,5,FALSE)</f>
        <v>18</v>
      </c>
      <c r="K47" s="56">
        <f>VLOOKUP(F47,'[1]Planilha Orçamentária'!B48:J424,7,FALSE)*$K$1</f>
        <v>6.5674537500000003</v>
      </c>
      <c r="L47" s="55">
        <f>K47*J47</f>
        <v>118.2141675</v>
      </c>
      <c r="M47" s="54">
        <f>L47/$O$8</f>
        <v>7.0638068971349259E-5</v>
      </c>
      <c r="N47" s="131"/>
      <c r="O47" s="52"/>
      <c r="P47" s="51">
        <v>18</v>
      </c>
      <c r="Q47" s="50">
        <v>7.16</v>
      </c>
      <c r="R47" s="49">
        <v>128.88</v>
      </c>
      <c r="S47" s="48">
        <v>157.83933599999997</v>
      </c>
      <c r="T47" s="82">
        <v>0</v>
      </c>
      <c r="U47" s="44">
        <f>T47*K47</f>
        <v>0</v>
      </c>
      <c r="V47" s="83"/>
      <c r="W47" s="82">
        <f>T47</f>
        <v>0</v>
      </c>
      <c r="X47" s="44">
        <f>U47</f>
        <v>0</v>
      </c>
      <c r="Y47" s="83"/>
      <c r="Z47" s="82">
        <f>T47-W47</f>
        <v>0</v>
      </c>
      <c r="AA47" s="44">
        <f>L47-X47</f>
        <v>118.2141675</v>
      </c>
      <c r="AB47" s="81"/>
    </row>
    <row r="48" spans="1:28" ht="25.5">
      <c r="A48" s="98"/>
      <c r="B48" s="98"/>
      <c r="C48" s="124"/>
      <c r="D48" s="60"/>
      <c r="E48" s="58" t="s">
        <v>855</v>
      </c>
      <c r="F48" s="58">
        <v>99813</v>
      </c>
      <c r="G48" s="58" t="s">
        <v>26</v>
      </c>
      <c r="H48" s="59" t="s">
        <v>854</v>
      </c>
      <c r="I48" s="58" t="s">
        <v>45</v>
      </c>
      <c r="J48" s="57">
        <f>VLOOKUP(F48,'[1]Planilha Orçamentária'!B48:J425,5,FALSE)</f>
        <v>40.6</v>
      </c>
      <c r="K48" s="56">
        <f>VLOOKUP(F48,'[1]Planilha Orçamentária'!B49:J425,7,FALSE)*$K$1</f>
        <v>1.2767497499999998</v>
      </c>
      <c r="L48" s="55">
        <f>K48*J48</f>
        <v>51.836039849999992</v>
      </c>
      <c r="M48" s="54">
        <f>L48/$O$8</f>
        <v>3.0974271828509123E-5</v>
      </c>
      <c r="N48" s="131"/>
      <c r="O48" s="52"/>
      <c r="P48" s="51">
        <v>40.6</v>
      </c>
      <c r="Q48" s="50">
        <v>1.36</v>
      </c>
      <c r="R48" s="49">
        <v>55.21</v>
      </c>
      <c r="S48" s="48">
        <v>67.615686999999994</v>
      </c>
      <c r="T48" s="82">
        <v>0</v>
      </c>
      <c r="U48" s="44">
        <f>T48*K48</f>
        <v>0</v>
      </c>
      <c r="V48" s="83"/>
      <c r="W48" s="82">
        <f>T48</f>
        <v>0</v>
      </c>
      <c r="X48" s="44">
        <f>U48</f>
        <v>0</v>
      </c>
      <c r="Y48" s="83"/>
      <c r="Z48" s="82">
        <f>T48-W48</f>
        <v>0</v>
      </c>
      <c r="AA48" s="44">
        <f>L48-X48</f>
        <v>51.836039849999992</v>
      </c>
      <c r="AB48" s="81"/>
    </row>
    <row r="49" spans="1:28" ht="25.5">
      <c r="A49" s="98"/>
      <c r="B49" s="98"/>
      <c r="C49" s="124"/>
      <c r="D49" s="60"/>
      <c r="E49" s="58" t="s">
        <v>853</v>
      </c>
      <c r="F49" s="58">
        <v>99807</v>
      </c>
      <c r="G49" s="58" t="s">
        <v>26</v>
      </c>
      <c r="H49" s="59" t="s">
        <v>852</v>
      </c>
      <c r="I49" s="58" t="s">
        <v>45</v>
      </c>
      <c r="J49" s="57">
        <f>VLOOKUP(F49,'[1]Planilha Orçamentária'!B49:J426,5,FALSE)</f>
        <v>450.85</v>
      </c>
      <c r="K49" s="56">
        <f>VLOOKUP(F49,'[1]Planilha Orçamentária'!B50:J426,7,FALSE)*$K$1</f>
        <v>2.1769042499999998</v>
      </c>
      <c r="L49" s="55">
        <f>K49*J49</f>
        <v>981.45728111249991</v>
      </c>
      <c r="M49" s="54">
        <f>L49/$O$8</f>
        <v>5.8646309982817997E-4</v>
      </c>
      <c r="N49" s="131"/>
      <c r="O49" s="52"/>
      <c r="P49" s="51">
        <v>450.85</v>
      </c>
      <c r="Q49" s="50">
        <v>2.31</v>
      </c>
      <c r="R49" s="49">
        <v>1041.46</v>
      </c>
      <c r="S49" s="48">
        <v>1275.476062</v>
      </c>
      <c r="T49" s="82">
        <v>0</v>
      </c>
      <c r="U49" s="44">
        <f>T49*K49</f>
        <v>0</v>
      </c>
      <c r="V49" s="83"/>
      <c r="W49" s="82">
        <f>T49</f>
        <v>0</v>
      </c>
      <c r="X49" s="44">
        <f>U49</f>
        <v>0</v>
      </c>
      <c r="Y49" s="83"/>
      <c r="Z49" s="82">
        <f>T49-W49</f>
        <v>0</v>
      </c>
      <c r="AA49" s="44">
        <f>L49-X49</f>
        <v>981.45728111249991</v>
      </c>
      <c r="AB49" s="81"/>
    </row>
    <row r="50" spans="1:28" ht="26.25" thickBot="1">
      <c r="A50" s="104"/>
      <c r="B50" s="104"/>
      <c r="C50" s="122"/>
      <c r="D50" s="41"/>
      <c r="E50" s="39" t="s">
        <v>851</v>
      </c>
      <c r="F50" s="39" t="s">
        <v>850</v>
      </c>
      <c r="G50" s="39" t="s">
        <v>33</v>
      </c>
      <c r="H50" s="40" t="s">
        <v>849</v>
      </c>
      <c r="I50" s="39" t="s">
        <v>45</v>
      </c>
      <c r="J50" s="38">
        <f>VLOOKUP(F50,'[1]Planilha Orçamentária'!B50:J427,5,FALSE)</f>
        <v>143</v>
      </c>
      <c r="K50" s="37">
        <f>VLOOKUP(F50,'[1]Planilha Orçamentária'!B51:J427,7,FALSE)*$K$1</f>
        <v>1.38697275</v>
      </c>
      <c r="L50" s="36">
        <f>K50*J50</f>
        <v>198.33710324999998</v>
      </c>
      <c r="M50" s="35">
        <f>L50/$O$8</f>
        <v>1.1851498238526375E-4</v>
      </c>
      <c r="N50" s="128"/>
      <c r="O50" s="33"/>
      <c r="P50" s="51">
        <v>143</v>
      </c>
      <c r="Q50" s="50">
        <v>1.51</v>
      </c>
      <c r="R50" s="49">
        <v>215.93</v>
      </c>
      <c r="S50" s="48">
        <v>264.44947099999996</v>
      </c>
      <c r="T50" s="27">
        <v>0</v>
      </c>
      <c r="U50" s="26">
        <f>T50*K50</f>
        <v>0</v>
      </c>
      <c r="V50" s="103"/>
      <c r="W50" s="27">
        <f>T50</f>
        <v>0</v>
      </c>
      <c r="X50" s="26">
        <f>U50</f>
        <v>0</v>
      </c>
      <c r="Y50" s="103"/>
      <c r="Z50" s="27">
        <f>T50-W50</f>
        <v>0</v>
      </c>
      <c r="AA50" s="26">
        <f>L50-X50</f>
        <v>198.33710324999998</v>
      </c>
      <c r="AB50" s="102"/>
    </row>
    <row r="51" spans="1:28" ht="25.5" customHeight="1">
      <c r="A51" s="101" t="s">
        <v>848</v>
      </c>
      <c r="B51" s="101">
        <v>10</v>
      </c>
      <c r="C51" s="126" t="s">
        <v>847</v>
      </c>
      <c r="D51" s="79" t="s">
        <v>846</v>
      </c>
      <c r="E51" s="77" t="s">
        <v>845</v>
      </c>
      <c r="F51" s="77">
        <v>92398</v>
      </c>
      <c r="G51" s="77" t="s">
        <v>26</v>
      </c>
      <c r="H51" s="78" t="s">
        <v>844</v>
      </c>
      <c r="I51" s="77" t="s">
        <v>45</v>
      </c>
      <c r="J51" s="76">
        <f>VLOOKUP(F51,'[1]Planilha Orçamentária'!B51:J428,5,FALSE)</f>
        <v>158.94999999999999</v>
      </c>
      <c r="K51" s="75">
        <f>VLOOKUP(F51,'[1]Planilha Orçamentária'!B52:J428,7,FALSE)*$K$1</f>
        <v>86.322979499999988</v>
      </c>
      <c r="L51" s="74">
        <f>K51*J51</f>
        <v>13721.037591524997</v>
      </c>
      <c r="M51" s="73">
        <f>L51/$O$8</f>
        <v>8.1989123659701683E-3</v>
      </c>
      <c r="N51" s="143">
        <f>SUM(L51:L53)</f>
        <v>19606.564603649997</v>
      </c>
      <c r="O51" s="111">
        <f>N51/$O$8</f>
        <v>1.1715768863015879E-2</v>
      </c>
      <c r="P51" s="51">
        <v>158.94999999999999</v>
      </c>
      <c r="Q51" s="50">
        <v>99.6</v>
      </c>
      <c r="R51" s="49">
        <v>15831.42</v>
      </c>
      <c r="S51" s="48">
        <v>19388.740073999998</v>
      </c>
      <c r="T51" s="64">
        <v>0</v>
      </c>
      <c r="U51" s="66">
        <f>T51*K51</f>
        <v>0</v>
      </c>
      <c r="V51" s="125">
        <f>U51+U52+U53</f>
        <v>0</v>
      </c>
      <c r="W51" s="64">
        <f>T51</f>
        <v>0</v>
      </c>
      <c r="X51" s="66">
        <f>U51</f>
        <v>0</v>
      </c>
      <c r="Y51" s="125">
        <f>X51+X52+X53</f>
        <v>0</v>
      </c>
      <c r="Z51" s="64">
        <f>T51-W51</f>
        <v>0</v>
      </c>
      <c r="AA51" s="66">
        <f>L51-X51</f>
        <v>13721.037591524997</v>
      </c>
      <c r="AB51" s="125">
        <f>AA51+AA52+AA53</f>
        <v>19606.564603649997</v>
      </c>
    </row>
    <row r="52" spans="1:28" ht="38.25">
      <c r="A52" s="98"/>
      <c r="B52" s="98"/>
      <c r="C52" s="124"/>
      <c r="D52" s="60"/>
      <c r="E52" s="58" t="s">
        <v>843</v>
      </c>
      <c r="F52" s="58">
        <v>94279</v>
      </c>
      <c r="G52" s="58" t="s">
        <v>26</v>
      </c>
      <c r="H52" s="59" t="s">
        <v>842</v>
      </c>
      <c r="I52" s="58" t="s">
        <v>88</v>
      </c>
      <c r="J52" s="57">
        <f>VLOOKUP(F52,'[1]Planilha Orçamentária'!B52:J429,5,FALSE)</f>
        <v>13</v>
      </c>
      <c r="K52" s="56">
        <f>VLOOKUP(F52,'[1]Planilha Orçamentária'!B53:J429,7,FALSE)*$K$1</f>
        <v>51.290436</v>
      </c>
      <c r="L52" s="55">
        <f>K52*J52</f>
        <v>666.775668</v>
      </c>
      <c r="M52" s="54">
        <f>L52/$O$8</f>
        <v>3.9842724963233767E-4</v>
      </c>
      <c r="N52" s="142"/>
      <c r="O52" s="141"/>
      <c r="P52" s="51">
        <v>13</v>
      </c>
      <c r="Q52" s="50">
        <v>55.67</v>
      </c>
      <c r="R52" s="49">
        <v>723.71</v>
      </c>
      <c r="S52" s="48">
        <v>886.32763699999998</v>
      </c>
      <c r="T52" s="45">
        <v>0</v>
      </c>
      <c r="U52" s="47">
        <f>T52*K52</f>
        <v>0</v>
      </c>
      <c r="V52" s="123"/>
      <c r="W52" s="45">
        <f>T52</f>
        <v>0</v>
      </c>
      <c r="X52" s="47">
        <f>U52</f>
        <v>0</v>
      </c>
      <c r="Y52" s="123"/>
      <c r="Z52" s="45">
        <f>T52-W52</f>
        <v>0</v>
      </c>
      <c r="AA52" s="47">
        <f>L52-X52</f>
        <v>666.775668</v>
      </c>
      <c r="AB52" s="123"/>
    </row>
    <row r="53" spans="1:28" ht="33.6" customHeight="1" thickBot="1">
      <c r="A53" s="104"/>
      <c r="B53" s="104"/>
      <c r="C53" s="122"/>
      <c r="D53" s="41"/>
      <c r="E53" s="176" t="s">
        <v>841</v>
      </c>
      <c r="F53" s="176">
        <v>101092</v>
      </c>
      <c r="G53" s="176" t="s">
        <v>26</v>
      </c>
      <c r="H53" s="183" t="s">
        <v>840</v>
      </c>
      <c r="I53" s="39" t="s">
        <v>45</v>
      </c>
      <c r="J53" s="38">
        <f>VLOOKUP(F53,'[1]Planilha Orçamentária'!B53:J430,5,FALSE)</f>
        <v>9.5</v>
      </c>
      <c r="K53" s="37">
        <f>VLOOKUP(F53,'[1]Planilha Orçamentária'!B54:J430,7,FALSE)*$K$1</f>
        <v>549.34224674999996</v>
      </c>
      <c r="L53" s="36">
        <f>K53*J53</f>
        <v>5218.7513441249994</v>
      </c>
      <c r="M53" s="35">
        <f>L53/$O$8</f>
        <v>3.1184292474133726E-3</v>
      </c>
      <c r="N53" s="140"/>
      <c r="O53" s="109"/>
      <c r="P53" s="51">
        <v>9.5</v>
      </c>
      <c r="Q53" s="50">
        <v>587.76</v>
      </c>
      <c r="R53" s="49">
        <v>5583.72</v>
      </c>
      <c r="S53" s="48">
        <v>6838.3818839999994</v>
      </c>
      <c r="T53" s="27">
        <v>0</v>
      </c>
      <c r="U53" s="26">
        <f>T53*K53</f>
        <v>0</v>
      </c>
      <c r="V53" s="121"/>
      <c r="W53" s="27">
        <f>T53</f>
        <v>0</v>
      </c>
      <c r="X53" s="26">
        <f>U53</f>
        <v>0</v>
      </c>
      <c r="Y53" s="121"/>
      <c r="Z53" s="27">
        <f>T53-W53</f>
        <v>0</v>
      </c>
      <c r="AA53" s="26">
        <f>L53-X53</f>
        <v>5218.7513441249994</v>
      </c>
      <c r="AB53" s="121"/>
    </row>
    <row r="54" spans="1:28" ht="25.5" customHeight="1">
      <c r="A54" s="240" t="s">
        <v>839</v>
      </c>
      <c r="B54" s="239">
        <v>4</v>
      </c>
      <c r="C54" s="238" t="s">
        <v>838</v>
      </c>
      <c r="D54" s="238" t="s">
        <v>837</v>
      </c>
      <c r="E54" s="237" t="s">
        <v>836</v>
      </c>
      <c r="F54" s="237">
        <v>99059</v>
      </c>
      <c r="G54" s="237" t="s">
        <v>26</v>
      </c>
      <c r="H54" s="236" t="s">
        <v>835</v>
      </c>
      <c r="I54" s="235" t="s">
        <v>88</v>
      </c>
      <c r="J54" s="234">
        <v>86</v>
      </c>
      <c r="K54" s="233">
        <f>62.05*K1</f>
        <v>75.992634999999993</v>
      </c>
      <c r="L54" s="232">
        <f>K54*J54</f>
        <v>6535.3666099999991</v>
      </c>
      <c r="M54" s="231">
        <f>L54/$O$8</f>
        <v>3.9051637135644759E-3</v>
      </c>
      <c r="N54" s="230">
        <f>SUM(L54:L60)</f>
        <v>108012.89621498999</v>
      </c>
      <c r="O54" s="229">
        <f>N54/$O$8</f>
        <v>6.4542368939236094E-2</v>
      </c>
      <c r="P54" s="228">
        <v>86</v>
      </c>
      <c r="Q54" s="227">
        <v>81.849999999999994</v>
      </c>
      <c r="R54" s="226">
        <v>7039.1</v>
      </c>
      <c r="S54" s="225">
        <v>8620.7857700000004</v>
      </c>
      <c r="T54" s="222">
        <v>86</v>
      </c>
      <c r="U54" s="224">
        <f>T54*K54</f>
        <v>6535.3666099999991</v>
      </c>
      <c r="V54" s="223">
        <f>U54+U55+U56+U57+U58+U59+U60</f>
        <v>108012.89621498999</v>
      </c>
      <c r="W54" s="222">
        <f>T54</f>
        <v>86</v>
      </c>
      <c r="X54" s="224">
        <f>U54</f>
        <v>6535.3666099999991</v>
      </c>
      <c r="Y54" s="223">
        <f>X54+X55+X56+X57+X58+X59+X60</f>
        <v>108012.89621498999</v>
      </c>
      <c r="Z54" s="222">
        <f>T54-W54</f>
        <v>0</v>
      </c>
      <c r="AA54" s="221">
        <f>L54-X54</f>
        <v>0</v>
      </c>
      <c r="AB54" s="220">
        <f>AA54+AA55+AA56+AA57+AA58+AA59+AA60</f>
        <v>0</v>
      </c>
    </row>
    <row r="55" spans="1:28" ht="25.5">
      <c r="A55" s="217"/>
      <c r="B55" s="217"/>
      <c r="C55" s="216"/>
      <c r="D55" s="216"/>
      <c r="E55" s="214" t="s">
        <v>834</v>
      </c>
      <c r="F55" s="214">
        <v>96523</v>
      </c>
      <c r="G55" s="214" t="s">
        <v>26</v>
      </c>
      <c r="H55" s="215" t="s">
        <v>833</v>
      </c>
      <c r="I55" s="214" t="s">
        <v>752</v>
      </c>
      <c r="J55" s="213">
        <v>79.78</v>
      </c>
      <c r="K55" s="212">
        <f>102.64*K1</f>
        <v>125.70320799999999</v>
      </c>
      <c r="L55" s="193">
        <f>K55*J55</f>
        <v>10028.60193424</v>
      </c>
      <c r="M55" s="211">
        <f>L55/$O$8</f>
        <v>5.992522640038485E-3</v>
      </c>
      <c r="N55" s="210"/>
      <c r="O55" s="209"/>
      <c r="P55" s="194">
        <v>79.78</v>
      </c>
      <c r="Q55" s="193">
        <v>133.65</v>
      </c>
      <c r="R55" s="192">
        <v>10662.59</v>
      </c>
      <c r="S55" s="191">
        <v>13058.473972999998</v>
      </c>
      <c r="T55" s="218">
        <v>79.78</v>
      </c>
      <c r="U55" s="219">
        <f>T55*K55</f>
        <v>10028.60193424</v>
      </c>
      <c r="V55" s="208"/>
      <c r="W55" s="218">
        <f>T55</f>
        <v>79.78</v>
      </c>
      <c r="X55" s="219">
        <f>U55</f>
        <v>10028.60193424</v>
      </c>
      <c r="Y55" s="208"/>
      <c r="Z55" s="218">
        <f>T55-W55</f>
        <v>0</v>
      </c>
      <c r="AA55" s="206">
        <f>L55-X55</f>
        <v>0</v>
      </c>
      <c r="AB55" s="205"/>
    </row>
    <row r="56" spans="1:28" ht="25.5">
      <c r="A56" s="217"/>
      <c r="B56" s="217"/>
      <c r="C56" s="216"/>
      <c r="D56" s="216"/>
      <c r="E56" s="214" t="s">
        <v>832</v>
      </c>
      <c r="F56" s="214" t="s">
        <v>831</v>
      </c>
      <c r="G56" s="214" t="s">
        <v>33</v>
      </c>
      <c r="H56" s="215" t="s">
        <v>830</v>
      </c>
      <c r="I56" s="214" t="s">
        <v>88</v>
      </c>
      <c r="J56" s="213">
        <f>VLOOKUP(F56,'[1]Planilha Orçamentária'!B56:J433,5,FALSE)</f>
        <v>168</v>
      </c>
      <c r="K56" s="212">
        <f>VLOOKUP(F56,'[1]Planilha Orçamentária'!B57:J433,7,FALSE)*$K$1</f>
        <v>213.44683949999998</v>
      </c>
      <c r="L56" s="193">
        <f>K56*J56</f>
        <v>35859.069035999994</v>
      </c>
      <c r="M56" s="211">
        <f>L56/$O$8</f>
        <v>2.1427341962318876E-2</v>
      </c>
      <c r="N56" s="210"/>
      <c r="O56" s="209"/>
      <c r="P56" s="194">
        <v>168</v>
      </c>
      <c r="Q56" s="193">
        <v>233.68</v>
      </c>
      <c r="R56" s="192">
        <v>39258.239999999998</v>
      </c>
      <c r="S56" s="191">
        <v>48079.566527999996</v>
      </c>
      <c r="T56" s="207">
        <v>168</v>
      </c>
      <c r="U56" s="206">
        <f>T56*K56</f>
        <v>35859.069035999994</v>
      </c>
      <c r="V56" s="208"/>
      <c r="W56" s="207">
        <f>T56</f>
        <v>168</v>
      </c>
      <c r="X56" s="206">
        <f>U56</f>
        <v>35859.069035999994</v>
      </c>
      <c r="Y56" s="208"/>
      <c r="Z56" s="207">
        <f>T56-W56</f>
        <v>0</v>
      </c>
      <c r="AA56" s="206">
        <f>L56-X56</f>
        <v>0</v>
      </c>
      <c r="AB56" s="205"/>
    </row>
    <row r="57" spans="1:28" ht="25.5">
      <c r="A57" s="217"/>
      <c r="B57" s="217"/>
      <c r="C57" s="216"/>
      <c r="D57" s="216"/>
      <c r="E57" s="214" t="s">
        <v>829</v>
      </c>
      <c r="F57" s="214" t="s">
        <v>828</v>
      </c>
      <c r="G57" s="214" t="s">
        <v>33</v>
      </c>
      <c r="H57" s="215" t="s">
        <v>827</v>
      </c>
      <c r="I57" s="214" t="s">
        <v>88</v>
      </c>
      <c r="J57" s="213">
        <f>VLOOKUP(F57,'[1]Planilha Orçamentária'!B57:J434,5,FALSE)</f>
        <v>24</v>
      </c>
      <c r="K57" s="212">
        <f>VLOOKUP(F57,'[1]Planilha Orçamentária'!B58:J434,7,FALSE)*$K$1</f>
        <v>667.79523074999997</v>
      </c>
      <c r="L57" s="193">
        <f>K57*J57</f>
        <v>16027.085537999999</v>
      </c>
      <c r="M57" s="211">
        <f>L57/$O$8</f>
        <v>9.5768755774806626E-3</v>
      </c>
      <c r="N57" s="210"/>
      <c r="O57" s="209"/>
      <c r="P57" s="194">
        <v>24</v>
      </c>
      <c r="Q57" s="193">
        <v>731.69</v>
      </c>
      <c r="R57" s="192">
        <v>17560.560000000001</v>
      </c>
      <c r="S57" s="191">
        <v>21506.417831999999</v>
      </c>
      <c r="T57" s="207">
        <v>24</v>
      </c>
      <c r="U57" s="206">
        <f>T57*K57</f>
        <v>16027.085537999999</v>
      </c>
      <c r="V57" s="208"/>
      <c r="W57" s="207">
        <f>T57</f>
        <v>24</v>
      </c>
      <c r="X57" s="206">
        <f>U57</f>
        <v>16027.085537999999</v>
      </c>
      <c r="Y57" s="208"/>
      <c r="Z57" s="207">
        <f>T57-W57</f>
        <v>0</v>
      </c>
      <c r="AA57" s="206">
        <f>L57-X57</f>
        <v>0</v>
      </c>
      <c r="AB57" s="205"/>
    </row>
    <row r="58" spans="1:28" ht="25.5">
      <c r="A58" s="217"/>
      <c r="B58" s="217"/>
      <c r="C58" s="216"/>
      <c r="D58" s="216"/>
      <c r="E58" s="214" t="s">
        <v>826</v>
      </c>
      <c r="F58" s="214" t="s">
        <v>825</v>
      </c>
      <c r="G58" s="214" t="s">
        <v>33</v>
      </c>
      <c r="H58" s="215" t="s">
        <v>824</v>
      </c>
      <c r="I58" s="214" t="s">
        <v>24</v>
      </c>
      <c r="J58" s="213">
        <f>VLOOKUP(F58,'[1]Planilha Orçamentária'!B58:J435,5,FALSE)</f>
        <v>1</v>
      </c>
      <c r="K58" s="212">
        <f>VLOOKUP(F58,'[1]Planilha Orçamentária'!B59:J435,7,FALSE)*$K$1</f>
        <v>7720.0097347500005</v>
      </c>
      <c r="L58" s="193">
        <f>K58*J58</f>
        <v>7720.0097347500005</v>
      </c>
      <c r="M58" s="211">
        <f>L58/$O$8</f>
        <v>4.6130391275035479E-3</v>
      </c>
      <c r="N58" s="210"/>
      <c r="O58" s="209"/>
      <c r="P58" s="194">
        <v>1</v>
      </c>
      <c r="Q58" s="193">
        <v>8409.7099999999991</v>
      </c>
      <c r="R58" s="192">
        <v>8409.7099999999991</v>
      </c>
      <c r="S58" s="191">
        <v>10299.371836999999</v>
      </c>
      <c r="T58" s="207">
        <v>1</v>
      </c>
      <c r="U58" s="206">
        <f>T58*K58</f>
        <v>7720.0097347500005</v>
      </c>
      <c r="V58" s="208"/>
      <c r="W58" s="207">
        <f>T58</f>
        <v>1</v>
      </c>
      <c r="X58" s="206">
        <f>U58</f>
        <v>7720.0097347500005</v>
      </c>
      <c r="Y58" s="208"/>
      <c r="Z58" s="207">
        <f>T58-W58</f>
        <v>0</v>
      </c>
      <c r="AA58" s="206">
        <f>L58-X58</f>
        <v>0</v>
      </c>
      <c r="AB58" s="205"/>
    </row>
    <row r="59" spans="1:28" ht="38.25">
      <c r="A59" s="217"/>
      <c r="B59" s="217"/>
      <c r="C59" s="216"/>
      <c r="D59" s="216"/>
      <c r="E59" s="214" t="s">
        <v>823</v>
      </c>
      <c r="F59" s="214" t="s">
        <v>822</v>
      </c>
      <c r="G59" s="214" t="s">
        <v>33</v>
      </c>
      <c r="H59" s="215" t="s">
        <v>821</v>
      </c>
      <c r="I59" s="214" t="s">
        <v>88</v>
      </c>
      <c r="J59" s="213">
        <f>VLOOKUP(F59,'[1]Planilha Orçamentária'!B59:J436,5,FALSE)</f>
        <v>192</v>
      </c>
      <c r="K59" s="212">
        <f>VLOOKUP(F59,'[1]Planilha Orçamentária'!B60:J436,7,FALSE)*$K$1</f>
        <v>133.63620225</v>
      </c>
      <c r="L59" s="193">
        <f>K59*J59</f>
        <v>25658.150831999999</v>
      </c>
      <c r="M59" s="211">
        <f>L59/$O$8</f>
        <v>1.5331852911353442E-2</v>
      </c>
      <c r="N59" s="210"/>
      <c r="O59" s="209"/>
      <c r="P59" s="194">
        <v>192</v>
      </c>
      <c r="Q59" s="193">
        <v>150.91</v>
      </c>
      <c r="R59" s="192">
        <v>28974.720000000001</v>
      </c>
      <c r="S59" s="191">
        <v>35485.339584000001</v>
      </c>
      <c r="T59" s="207">
        <v>192</v>
      </c>
      <c r="U59" s="206">
        <f>T59*K59</f>
        <v>25658.150831999999</v>
      </c>
      <c r="V59" s="208"/>
      <c r="W59" s="207">
        <f>T59</f>
        <v>192</v>
      </c>
      <c r="X59" s="206">
        <f>U59</f>
        <v>25658.150831999999</v>
      </c>
      <c r="Y59" s="208"/>
      <c r="Z59" s="207">
        <f>T59-W59</f>
        <v>0</v>
      </c>
      <c r="AA59" s="206">
        <f>L59-X59</f>
        <v>0</v>
      </c>
      <c r="AB59" s="205"/>
    </row>
    <row r="60" spans="1:28" ht="15" thickBot="1">
      <c r="A60" s="204"/>
      <c r="B60" s="204"/>
      <c r="C60" s="203"/>
      <c r="D60" s="203"/>
      <c r="E60" s="201" t="s">
        <v>820</v>
      </c>
      <c r="F60" s="201" t="s">
        <v>819</v>
      </c>
      <c r="G60" s="201" t="s">
        <v>33</v>
      </c>
      <c r="H60" s="202" t="s">
        <v>818</v>
      </c>
      <c r="I60" s="201" t="s">
        <v>24</v>
      </c>
      <c r="J60" s="200">
        <f>VLOOKUP(F60,'[1]Planilha Orçamentária'!B60:J437,5,FALSE)</f>
        <v>24</v>
      </c>
      <c r="K60" s="199">
        <f>VLOOKUP(F60,'[1]Planilha Orçamentária'!B61:J437,7,FALSE)*$K$1</f>
        <v>257.69218875000001</v>
      </c>
      <c r="L60" s="198">
        <f>K60*J60</f>
        <v>6184.6125300000003</v>
      </c>
      <c r="M60" s="197">
        <f>L60/$O$8</f>
        <v>3.6955730069766035E-3</v>
      </c>
      <c r="N60" s="196"/>
      <c r="O60" s="195"/>
      <c r="P60" s="194">
        <v>24</v>
      </c>
      <c r="Q60" s="193">
        <v>280.51</v>
      </c>
      <c r="R60" s="192">
        <v>6732.24</v>
      </c>
      <c r="S60" s="191">
        <v>8244.9743279999984</v>
      </c>
      <c r="T60" s="189">
        <v>24</v>
      </c>
      <c r="U60" s="188">
        <f>T60*K60</f>
        <v>6184.6125300000003</v>
      </c>
      <c r="V60" s="190"/>
      <c r="W60" s="189">
        <f>T60</f>
        <v>24</v>
      </c>
      <c r="X60" s="188">
        <f>U60</f>
        <v>6184.6125300000003</v>
      </c>
      <c r="Y60" s="190"/>
      <c r="Z60" s="189">
        <f>T60-W60</f>
        <v>0</v>
      </c>
      <c r="AA60" s="188">
        <f>L60-X60</f>
        <v>0</v>
      </c>
      <c r="AB60" s="187"/>
    </row>
    <row r="61" spans="1:28" ht="25.5" customHeight="1">
      <c r="A61" s="139" t="s">
        <v>817</v>
      </c>
      <c r="B61" s="139">
        <v>4</v>
      </c>
      <c r="C61" s="162" t="s">
        <v>816</v>
      </c>
      <c r="D61" s="162" t="s">
        <v>815</v>
      </c>
      <c r="E61" s="77" t="s">
        <v>814</v>
      </c>
      <c r="F61" s="77">
        <v>101173</v>
      </c>
      <c r="G61" s="77" t="s">
        <v>26</v>
      </c>
      <c r="H61" s="78" t="s">
        <v>813</v>
      </c>
      <c r="I61" s="77" t="s">
        <v>88</v>
      </c>
      <c r="J61" s="76">
        <f>VLOOKUP(F61,'[1]Planilha Orçamentária'!B61:J438,5,FALSE)</f>
        <v>32</v>
      </c>
      <c r="K61" s="75">
        <f>VLOOKUP(F61,'[1]Planilha Orçamentária'!B62:J438,7,FALSE)*$K$1</f>
        <v>67.125806999999995</v>
      </c>
      <c r="L61" s="74">
        <f>K61*J61</f>
        <v>2148.0258239999998</v>
      </c>
      <c r="M61" s="73">
        <f>L61/$O$8</f>
        <v>1.283538170735342E-3</v>
      </c>
      <c r="N61" s="134">
        <f>SUM(L61:L64)</f>
        <v>24119.013209744997</v>
      </c>
      <c r="O61" s="71">
        <f>N61/$O$8</f>
        <v>1.4412151729874942E-2</v>
      </c>
      <c r="P61" s="51">
        <v>32</v>
      </c>
      <c r="Q61" s="50">
        <v>73.05</v>
      </c>
      <c r="R61" s="49">
        <v>2337.6</v>
      </c>
      <c r="S61" s="48">
        <v>2862.8587199999997</v>
      </c>
      <c r="T61" s="64">
        <v>0</v>
      </c>
      <c r="U61" s="66">
        <f>T61*K61</f>
        <v>0</v>
      </c>
      <c r="V61" s="100">
        <f>U61+U62+U63+U64</f>
        <v>0</v>
      </c>
      <c r="W61" s="64">
        <f>T61</f>
        <v>0</v>
      </c>
      <c r="X61" s="66">
        <f>U61</f>
        <v>0</v>
      </c>
      <c r="Y61" s="100">
        <f>X61+X62+X63+X64</f>
        <v>0</v>
      </c>
      <c r="Z61" s="64">
        <f>T61-W61</f>
        <v>0</v>
      </c>
      <c r="AA61" s="63">
        <f>L61-X61</f>
        <v>2148.0258239999998</v>
      </c>
      <c r="AB61" s="99">
        <f>AA61+AA62+AA63+AA64</f>
        <v>24119.013209744997</v>
      </c>
    </row>
    <row r="62" spans="1:28" ht="25.5" customHeight="1">
      <c r="A62" s="138"/>
      <c r="B62" s="138"/>
      <c r="C62" s="153"/>
      <c r="D62" s="153"/>
      <c r="E62" s="58" t="s">
        <v>812</v>
      </c>
      <c r="F62" s="58">
        <v>96540</v>
      </c>
      <c r="G62" s="58" t="s">
        <v>26</v>
      </c>
      <c r="H62" s="59" t="s">
        <v>811</v>
      </c>
      <c r="I62" s="58" t="s">
        <v>45</v>
      </c>
      <c r="J62" s="57">
        <f>VLOOKUP(F62,'[1]Planilha Orçamentária'!B62:J439,5,FALSE)</f>
        <v>58.1</v>
      </c>
      <c r="K62" s="56">
        <f>VLOOKUP(F62,'[1]Planilha Orçamentária'!B63:J439,7,FALSE)*$K$1</f>
        <v>148.95719924999997</v>
      </c>
      <c r="L62" s="55">
        <f>K62*J62</f>
        <v>8654.4132764249989</v>
      </c>
      <c r="M62" s="54">
        <f>L62/$O$8</f>
        <v>5.1713855864752405E-3</v>
      </c>
      <c r="N62" s="131"/>
      <c r="O62" s="52"/>
      <c r="P62" s="51">
        <v>58.1</v>
      </c>
      <c r="Q62" s="50">
        <v>160.6</v>
      </c>
      <c r="R62" s="49">
        <v>9330.86</v>
      </c>
      <c r="S62" s="48">
        <v>11427.504241999999</v>
      </c>
      <c r="T62" s="45">
        <v>0</v>
      </c>
      <c r="U62" s="47">
        <f>T62*K62</f>
        <v>0</v>
      </c>
      <c r="V62" s="83"/>
      <c r="W62" s="45">
        <f>T62</f>
        <v>0</v>
      </c>
      <c r="X62" s="47">
        <f>U62</f>
        <v>0</v>
      </c>
      <c r="Y62" s="83"/>
      <c r="Z62" s="45">
        <f>T62-W62</f>
        <v>0</v>
      </c>
      <c r="AA62" s="44">
        <f>L62-X62</f>
        <v>8654.4132764249989</v>
      </c>
      <c r="AB62" s="81"/>
    </row>
    <row r="63" spans="1:28" ht="28.15" customHeight="1">
      <c r="A63" s="138"/>
      <c r="B63" s="138"/>
      <c r="C63" s="153"/>
      <c r="D63" s="153"/>
      <c r="E63" s="58" t="s">
        <v>810</v>
      </c>
      <c r="F63" s="58">
        <v>96545</v>
      </c>
      <c r="G63" s="58" t="s">
        <v>26</v>
      </c>
      <c r="H63" s="59" t="s">
        <v>809</v>
      </c>
      <c r="I63" s="58" t="s">
        <v>319</v>
      </c>
      <c r="J63" s="57">
        <f>VLOOKUP(F63,'[1]Planilha Orçamentária'!B63:J440,5,FALSE)</f>
        <v>313.2</v>
      </c>
      <c r="K63" s="56">
        <f>VLOOKUP(F63,'[1]Planilha Orçamentária'!B64:J440,7,FALSE)*$K$1</f>
        <v>17.516271749999998</v>
      </c>
      <c r="L63" s="55">
        <f>K63*J63</f>
        <v>5486.0963120999995</v>
      </c>
      <c r="M63" s="54">
        <f>L63/$O$8</f>
        <v>3.2781794083825409E-3</v>
      </c>
      <c r="N63" s="131"/>
      <c r="O63" s="52"/>
      <c r="P63" s="51">
        <v>313.2</v>
      </c>
      <c r="Q63" s="50">
        <v>18.89</v>
      </c>
      <c r="R63" s="49">
        <v>5916.34</v>
      </c>
      <c r="S63" s="48">
        <v>7245.7415979999996</v>
      </c>
      <c r="T63" s="82">
        <v>0</v>
      </c>
      <c r="U63" s="44">
        <f>T63*K63</f>
        <v>0</v>
      </c>
      <c r="V63" s="83"/>
      <c r="W63" s="82">
        <f>T63</f>
        <v>0</v>
      </c>
      <c r="X63" s="44">
        <f>U63</f>
        <v>0</v>
      </c>
      <c r="Y63" s="83"/>
      <c r="Z63" s="82">
        <f>T63-W63</f>
        <v>0</v>
      </c>
      <c r="AA63" s="44">
        <f>L63-X63</f>
        <v>5486.0963120999995</v>
      </c>
      <c r="AB63" s="81"/>
    </row>
    <row r="64" spans="1:28" ht="26.25" thickBot="1">
      <c r="A64" s="138"/>
      <c r="B64" s="138"/>
      <c r="C64" s="153"/>
      <c r="D64" s="153"/>
      <c r="E64" s="92" t="s">
        <v>808</v>
      </c>
      <c r="F64" s="92">
        <v>96557</v>
      </c>
      <c r="G64" s="92" t="s">
        <v>26</v>
      </c>
      <c r="H64" s="93" t="s">
        <v>807</v>
      </c>
      <c r="I64" s="92" t="s">
        <v>752</v>
      </c>
      <c r="J64" s="91">
        <f>VLOOKUP(F64,'[1]Planilha Orçamentária'!B64:J441,5,FALSE)</f>
        <v>11.82</v>
      </c>
      <c r="K64" s="90">
        <f>VLOOKUP(F64,'[1]Planilha Orçamentária'!B65:J441,7,FALSE)*$K$1</f>
        <v>662.47697100000005</v>
      </c>
      <c r="L64" s="89">
        <f>K64*J64</f>
        <v>7830.4777972200009</v>
      </c>
      <c r="M64" s="88">
        <f>L64/$O$8</f>
        <v>4.6790485642818191E-3</v>
      </c>
      <c r="N64" s="131"/>
      <c r="O64" s="52"/>
      <c r="P64" s="186">
        <v>11.82</v>
      </c>
      <c r="Q64" s="86">
        <v>720.57</v>
      </c>
      <c r="R64" s="85">
        <v>8517.1299999999992</v>
      </c>
      <c r="S64" s="84">
        <v>10430.929110999998</v>
      </c>
      <c r="T64" s="82">
        <v>0</v>
      </c>
      <c r="U64" s="44">
        <f>T64*K64</f>
        <v>0</v>
      </c>
      <c r="V64" s="83"/>
      <c r="W64" s="82">
        <f>T64</f>
        <v>0</v>
      </c>
      <c r="X64" s="44">
        <f>U64</f>
        <v>0</v>
      </c>
      <c r="Y64" s="83"/>
      <c r="Z64" s="82">
        <f>T64-W64</f>
        <v>0</v>
      </c>
      <c r="AA64" s="44">
        <f>L64-X64</f>
        <v>7830.4777972200009</v>
      </c>
      <c r="AB64" s="81"/>
    </row>
    <row r="65" spans="1:28" ht="25.5">
      <c r="A65" s="101" t="s">
        <v>806</v>
      </c>
      <c r="B65" s="101">
        <v>5</v>
      </c>
      <c r="C65" s="79" t="s">
        <v>805</v>
      </c>
      <c r="D65" s="79" t="s">
        <v>804</v>
      </c>
      <c r="E65" s="77" t="s">
        <v>803</v>
      </c>
      <c r="F65" s="77">
        <v>96536</v>
      </c>
      <c r="G65" s="77" t="s">
        <v>26</v>
      </c>
      <c r="H65" s="78" t="s">
        <v>802</v>
      </c>
      <c r="I65" s="77" t="s">
        <v>45</v>
      </c>
      <c r="J65" s="76">
        <f>VLOOKUP(F65,'[1]Planilha Orçamentária'!B65:J442,5,FALSE)</f>
        <v>242.3</v>
      </c>
      <c r="K65" s="75">
        <f>VLOOKUP(F65,'[1]Planilha Orçamentária'!B66:J442,7,FALSE)*$K$1</f>
        <v>78.855371249999976</v>
      </c>
      <c r="L65" s="74">
        <f>K65*J65</f>
        <v>19106.656453874995</v>
      </c>
      <c r="M65" s="73">
        <f>L65/$O$8</f>
        <v>1.1417052160018785E-2</v>
      </c>
      <c r="N65" s="134">
        <f>SUM(L65:L73)</f>
        <v>121575.29480264999</v>
      </c>
      <c r="O65" s="71">
        <f>N65/$O$8</f>
        <v>7.2646487651166769E-2</v>
      </c>
      <c r="P65" s="70">
        <v>242.3</v>
      </c>
      <c r="Q65" s="69">
        <v>84.8</v>
      </c>
      <c r="R65" s="68">
        <v>20547.04</v>
      </c>
      <c r="S65" s="67">
        <v>25163.959887999998</v>
      </c>
      <c r="T65" s="64">
        <v>0</v>
      </c>
      <c r="U65" s="66">
        <f>T65*K65</f>
        <v>0</v>
      </c>
      <c r="V65" s="99">
        <f>U65+U66+U67+U68+U69+U70+U71+U72+U73</f>
        <v>0</v>
      </c>
      <c r="W65" s="64">
        <f>T65</f>
        <v>0</v>
      </c>
      <c r="X65" s="66">
        <f>U65</f>
        <v>0</v>
      </c>
      <c r="Y65" s="99">
        <f>X65+X66+X67+X68+X69+X70+X71+X72+X73</f>
        <v>0</v>
      </c>
      <c r="Z65" s="64">
        <f>T65-W65</f>
        <v>0</v>
      </c>
      <c r="AA65" s="63">
        <f>L65-X65</f>
        <v>19106.656453874995</v>
      </c>
      <c r="AB65" s="99">
        <f>AA65+AA66+AA67+AA68+AA69+AA70+AA71+AA72+AA73</f>
        <v>121575.29480264999</v>
      </c>
    </row>
    <row r="66" spans="1:28" ht="25.5">
      <c r="A66" s="98"/>
      <c r="B66" s="98"/>
      <c r="C66" s="60"/>
      <c r="D66" s="60"/>
      <c r="E66" s="58" t="s">
        <v>801</v>
      </c>
      <c r="F66" s="58">
        <v>92419</v>
      </c>
      <c r="G66" s="58" t="s">
        <v>26</v>
      </c>
      <c r="H66" s="59" t="s">
        <v>800</v>
      </c>
      <c r="I66" s="58" t="s">
        <v>45</v>
      </c>
      <c r="J66" s="57">
        <f>VLOOKUP(F66,'[1]Planilha Orçamentária'!B66:J443,5,FALSE)</f>
        <v>192</v>
      </c>
      <c r="K66" s="56">
        <f>VLOOKUP(F66,'[1]Planilha Orçamentária'!B67:J443,7,FALSE)*$K$1</f>
        <v>99.255811499999993</v>
      </c>
      <c r="L66" s="55">
        <f>K66*J66</f>
        <v>19057.115807999999</v>
      </c>
      <c r="M66" s="54">
        <f>L66/$O$8</f>
        <v>1.1387449485193848E-2</v>
      </c>
      <c r="N66" s="131"/>
      <c r="O66" s="52"/>
      <c r="P66" s="51">
        <v>192</v>
      </c>
      <c r="Q66" s="50">
        <v>110.24</v>
      </c>
      <c r="R66" s="49">
        <v>21166.080000000002</v>
      </c>
      <c r="S66" s="48">
        <v>25922.098176</v>
      </c>
      <c r="T66" s="45">
        <v>0</v>
      </c>
      <c r="U66" s="47">
        <f>T66*K66</f>
        <v>0</v>
      </c>
      <c r="V66" s="81"/>
      <c r="W66" s="45">
        <f>T66</f>
        <v>0</v>
      </c>
      <c r="X66" s="47">
        <f>U66</f>
        <v>0</v>
      </c>
      <c r="Y66" s="81"/>
      <c r="Z66" s="45">
        <f>T66-W66</f>
        <v>0</v>
      </c>
      <c r="AA66" s="44">
        <f>L66-X66</f>
        <v>19057.115807999999</v>
      </c>
      <c r="AB66" s="81"/>
    </row>
    <row r="67" spans="1:28" ht="25.5">
      <c r="A67" s="98"/>
      <c r="B67" s="98"/>
      <c r="C67" s="60"/>
      <c r="D67" s="60"/>
      <c r="E67" s="58" t="s">
        <v>799</v>
      </c>
      <c r="F67" s="58">
        <v>92455</v>
      </c>
      <c r="G67" s="58" t="s">
        <v>26</v>
      </c>
      <c r="H67" s="59" t="s">
        <v>798</v>
      </c>
      <c r="I67" s="58" t="s">
        <v>45</v>
      </c>
      <c r="J67" s="57">
        <f>VLOOKUP(F67,'[1]Planilha Orçamentária'!B67:J444,5,FALSE)</f>
        <v>224.9</v>
      </c>
      <c r="K67" s="56">
        <f>VLOOKUP(F67,'[1]Planilha Orçamentária'!B68:J444,7,FALSE)*$K$1</f>
        <v>164.78338500000001</v>
      </c>
      <c r="L67" s="55">
        <f>K67*J67</f>
        <v>37059.783286500002</v>
      </c>
      <c r="M67" s="54">
        <f>L67/$O$8</f>
        <v>2.2144820567763537E-2</v>
      </c>
      <c r="N67" s="131"/>
      <c r="O67" s="52"/>
      <c r="P67" s="51">
        <v>224.9</v>
      </c>
      <c r="Q67" s="50">
        <v>177.8</v>
      </c>
      <c r="R67" s="49">
        <v>39987.22</v>
      </c>
      <c r="S67" s="48">
        <v>48972.348333999995</v>
      </c>
      <c r="T67" s="82">
        <v>0</v>
      </c>
      <c r="U67" s="44">
        <f>T67*K67</f>
        <v>0</v>
      </c>
      <c r="V67" s="81"/>
      <c r="W67" s="82">
        <f>T67</f>
        <v>0</v>
      </c>
      <c r="X67" s="44">
        <f>U67</f>
        <v>0</v>
      </c>
      <c r="Y67" s="81"/>
      <c r="Z67" s="82">
        <f>T67-W67</f>
        <v>0</v>
      </c>
      <c r="AA67" s="44">
        <f>L67-X67</f>
        <v>37059.783286500002</v>
      </c>
      <c r="AB67" s="81"/>
    </row>
    <row r="68" spans="1:28" ht="25.5">
      <c r="A68" s="98"/>
      <c r="B68" s="98"/>
      <c r="C68" s="60"/>
      <c r="D68" s="60"/>
      <c r="E68" s="58" t="s">
        <v>797</v>
      </c>
      <c r="F68" s="58">
        <v>92759</v>
      </c>
      <c r="G68" s="58" t="s">
        <v>26</v>
      </c>
      <c r="H68" s="59" t="s">
        <v>796</v>
      </c>
      <c r="I68" s="58" t="s">
        <v>319</v>
      </c>
      <c r="J68" s="57">
        <f>VLOOKUP(F68,'[1]Planilha Orçamentária'!B68:J445,5,FALSE)</f>
        <v>736.1</v>
      </c>
      <c r="K68" s="56">
        <f>VLOOKUP(F68,'[1]Planilha Orçamentária'!B69:J445,7,FALSE)*$K$1</f>
        <v>15.330182250000002</v>
      </c>
      <c r="L68" s="55">
        <f>K68*J68</f>
        <v>11284.547154225002</v>
      </c>
      <c r="M68" s="54">
        <f>L68/$O$8</f>
        <v>6.7430041343444621E-3</v>
      </c>
      <c r="N68" s="131"/>
      <c r="O68" s="52"/>
      <c r="P68" s="51">
        <v>736.1</v>
      </c>
      <c r="Q68" s="50">
        <v>16.54</v>
      </c>
      <c r="R68" s="49">
        <v>12175.09</v>
      </c>
      <c r="S68" s="48">
        <v>14910.832723</v>
      </c>
      <c r="T68" s="82">
        <v>0</v>
      </c>
      <c r="U68" s="44">
        <f>T68*K68</f>
        <v>0</v>
      </c>
      <c r="V68" s="81"/>
      <c r="W68" s="82">
        <f>T68</f>
        <v>0</v>
      </c>
      <c r="X68" s="44">
        <f>U68</f>
        <v>0</v>
      </c>
      <c r="Y68" s="81"/>
      <c r="Z68" s="82">
        <f>T68-W68</f>
        <v>0</v>
      </c>
      <c r="AA68" s="44">
        <f>L68-X68</f>
        <v>11284.547154225002</v>
      </c>
      <c r="AB68" s="81"/>
    </row>
    <row r="69" spans="1:28" ht="25.5">
      <c r="A69" s="98"/>
      <c r="B69" s="98"/>
      <c r="C69" s="60"/>
      <c r="D69" s="60"/>
      <c r="E69" s="58" t="s">
        <v>795</v>
      </c>
      <c r="F69" s="58">
        <v>92760</v>
      </c>
      <c r="G69" s="58" t="s">
        <v>26</v>
      </c>
      <c r="H69" s="59" t="s">
        <v>794</v>
      </c>
      <c r="I69" s="58" t="s">
        <v>319</v>
      </c>
      <c r="J69" s="57">
        <f>VLOOKUP(F69,'[1]Planilha Orçamentária'!B69:J446,5,FALSE)</f>
        <v>5.2</v>
      </c>
      <c r="K69" s="56">
        <f>VLOOKUP(F69,'[1]Planilha Orçamentária'!B70:J446,7,FALSE)*$K$1</f>
        <v>13.943209499999998</v>
      </c>
      <c r="L69" s="55">
        <f>K69*J69</f>
        <v>72.50468939999999</v>
      </c>
      <c r="M69" s="54">
        <f>L69/$O$8</f>
        <v>4.3324682302427543E-5</v>
      </c>
      <c r="N69" s="131"/>
      <c r="O69" s="52"/>
      <c r="P69" s="51">
        <v>5.2</v>
      </c>
      <c r="Q69" s="50">
        <v>15.09</v>
      </c>
      <c r="R69" s="49">
        <v>78.459999999999994</v>
      </c>
      <c r="S69" s="48">
        <v>96.089961999999986</v>
      </c>
      <c r="T69" s="82">
        <v>0</v>
      </c>
      <c r="U69" s="44">
        <f>T69*K69</f>
        <v>0</v>
      </c>
      <c r="V69" s="81"/>
      <c r="W69" s="82">
        <f>T69</f>
        <v>0</v>
      </c>
      <c r="X69" s="44">
        <f>U69</f>
        <v>0</v>
      </c>
      <c r="Y69" s="81"/>
      <c r="Z69" s="82">
        <f>T69-W69</f>
        <v>0</v>
      </c>
      <c r="AA69" s="44">
        <f>L69-X69</f>
        <v>72.50468939999999</v>
      </c>
      <c r="AB69" s="81"/>
    </row>
    <row r="70" spans="1:28" ht="25.5">
      <c r="A70" s="98"/>
      <c r="B70" s="98"/>
      <c r="C70" s="60"/>
      <c r="D70" s="60"/>
      <c r="E70" s="58" t="s">
        <v>793</v>
      </c>
      <c r="F70" s="58">
        <v>92761</v>
      </c>
      <c r="G70" s="58" t="s">
        <v>26</v>
      </c>
      <c r="H70" s="59" t="s">
        <v>792</v>
      </c>
      <c r="I70" s="58" t="s">
        <v>319</v>
      </c>
      <c r="J70" s="57">
        <f>VLOOKUP(F70,'[1]Planilha Orçamentária'!B70:J447,5,FALSE)</f>
        <v>252</v>
      </c>
      <c r="K70" s="56">
        <f>VLOOKUP(F70,'[1]Planilha Orçamentária'!B71:J447,7,FALSE)*$K$1</f>
        <v>12.758312249999999</v>
      </c>
      <c r="L70" s="55">
        <f>K70*J70</f>
        <v>3215.0946869999998</v>
      </c>
      <c r="M70" s="54">
        <f>L70/$O$8</f>
        <v>1.9211578870165843E-3</v>
      </c>
      <c r="N70" s="131"/>
      <c r="O70" s="52"/>
      <c r="P70" s="51">
        <v>252</v>
      </c>
      <c r="Q70" s="50">
        <v>13.83</v>
      </c>
      <c r="R70" s="49">
        <v>3485.16</v>
      </c>
      <c r="S70" s="48">
        <v>4268.2754519999999</v>
      </c>
      <c r="T70" s="82">
        <v>0</v>
      </c>
      <c r="U70" s="44">
        <f>T70*K70</f>
        <v>0</v>
      </c>
      <c r="V70" s="81"/>
      <c r="W70" s="82">
        <f>T70</f>
        <v>0</v>
      </c>
      <c r="X70" s="44">
        <f>U70</f>
        <v>0</v>
      </c>
      <c r="Y70" s="81"/>
      <c r="Z70" s="82">
        <f>T70-W70</f>
        <v>0</v>
      </c>
      <c r="AA70" s="44">
        <f>L70-X70</f>
        <v>3215.0946869999998</v>
      </c>
      <c r="AB70" s="81"/>
    </row>
    <row r="71" spans="1:28" ht="25.5">
      <c r="A71" s="98"/>
      <c r="B71" s="98"/>
      <c r="C71" s="60"/>
      <c r="D71" s="60"/>
      <c r="E71" s="58" t="s">
        <v>791</v>
      </c>
      <c r="F71" s="58">
        <v>92762</v>
      </c>
      <c r="G71" s="58" t="s">
        <v>26</v>
      </c>
      <c r="H71" s="59" t="s">
        <v>790</v>
      </c>
      <c r="I71" s="58" t="s">
        <v>319</v>
      </c>
      <c r="J71" s="57">
        <f>VLOOKUP(F71,'[1]Planilha Orçamentária'!B71:J448,5,FALSE)</f>
        <v>1166.2</v>
      </c>
      <c r="K71" s="56">
        <f>VLOOKUP(F71,'[1]Planilha Orçamentária'!B72:J448,7,FALSE)*$K$1</f>
        <v>11.19681975</v>
      </c>
      <c r="L71" s="55">
        <f>K71*J71</f>
        <v>13057.731192449999</v>
      </c>
      <c r="M71" s="54">
        <f>L71/$O$8</f>
        <v>7.8025581543060118E-3</v>
      </c>
      <c r="N71" s="131"/>
      <c r="O71" s="52"/>
      <c r="P71" s="51">
        <v>1166.2</v>
      </c>
      <c r="Q71" s="50">
        <v>12.15</v>
      </c>
      <c r="R71" s="49">
        <v>14169.33</v>
      </c>
      <c r="S71" s="48">
        <v>17353.178451</v>
      </c>
      <c r="T71" s="82">
        <v>0</v>
      </c>
      <c r="U71" s="44">
        <f>T71*K71</f>
        <v>0</v>
      </c>
      <c r="V71" s="81"/>
      <c r="W71" s="82">
        <f>T71</f>
        <v>0</v>
      </c>
      <c r="X71" s="44">
        <f>U71</f>
        <v>0</v>
      </c>
      <c r="Y71" s="81"/>
      <c r="Z71" s="82">
        <f>T71-W71</f>
        <v>0</v>
      </c>
      <c r="AA71" s="44">
        <f>L71-X71</f>
        <v>13057.731192449999</v>
      </c>
      <c r="AB71" s="81"/>
    </row>
    <row r="72" spans="1:28" ht="25.5">
      <c r="A72" s="98"/>
      <c r="B72" s="98"/>
      <c r="C72" s="60"/>
      <c r="D72" s="60"/>
      <c r="E72" s="58" t="s">
        <v>789</v>
      </c>
      <c r="F72" s="58">
        <v>92763</v>
      </c>
      <c r="G72" s="58" t="s">
        <v>26</v>
      </c>
      <c r="H72" s="59" t="s">
        <v>788</v>
      </c>
      <c r="I72" s="58" t="s">
        <v>319</v>
      </c>
      <c r="J72" s="57">
        <f>VLOOKUP(F72,'[1]Planilha Orçamentária'!B72:J449,5,FALSE)</f>
        <v>1242</v>
      </c>
      <c r="K72" s="56">
        <f>VLOOKUP(F72,'[1]Planilha Orçamentária'!B73:J449,7,FALSE)*$K$1</f>
        <v>9.2954729999999994</v>
      </c>
      <c r="L72" s="55">
        <f>K72*J72</f>
        <v>11544.977465999998</v>
      </c>
      <c r="M72" s="54">
        <f>L72/$O$8</f>
        <v>6.8986224896942314E-3</v>
      </c>
      <c r="N72" s="131"/>
      <c r="O72" s="52"/>
      <c r="P72" s="51">
        <v>1242</v>
      </c>
      <c r="Q72" s="50">
        <v>10.1</v>
      </c>
      <c r="R72" s="49">
        <v>12544.2</v>
      </c>
      <c r="S72" s="48">
        <v>15362.881739999999</v>
      </c>
      <c r="T72" s="82">
        <v>0</v>
      </c>
      <c r="U72" s="44">
        <f>T72*K72</f>
        <v>0</v>
      </c>
      <c r="V72" s="81"/>
      <c r="W72" s="82">
        <f>T72</f>
        <v>0</v>
      </c>
      <c r="X72" s="44">
        <f>U72</f>
        <v>0</v>
      </c>
      <c r="Y72" s="81"/>
      <c r="Z72" s="82">
        <f>T72-W72</f>
        <v>0</v>
      </c>
      <c r="AA72" s="44">
        <f>L72-X72</f>
        <v>11544.977465999998</v>
      </c>
      <c r="AB72" s="81"/>
    </row>
    <row r="73" spans="1:28" ht="26.25" thickBot="1">
      <c r="A73" s="104"/>
      <c r="B73" s="104"/>
      <c r="C73" s="41"/>
      <c r="D73" s="41"/>
      <c r="E73" s="39" t="s">
        <v>787</v>
      </c>
      <c r="F73" s="39">
        <v>103672</v>
      </c>
      <c r="G73" s="39" t="s">
        <v>26</v>
      </c>
      <c r="H73" s="40" t="s">
        <v>786</v>
      </c>
      <c r="I73" s="39" t="s">
        <v>752</v>
      </c>
      <c r="J73" s="38">
        <f>VLOOKUP(F73,'[1]Planilha Orçamentária'!B73:J450,5,FALSE)</f>
        <v>11.8</v>
      </c>
      <c r="K73" s="37">
        <f>VLOOKUP(F73,'[1]Planilha Orçamentária'!B74:J450,7,FALSE)*$K$1</f>
        <v>608.21051399999999</v>
      </c>
      <c r="L73" s="36">
        <f>K73*J73</f>
        <v>7176.8840651999999</v>
      </c>
      <c r="M73" s="35">
        <f>L73/$O$8</f>
        <v>4.2884980905268828E-3</v>
      </c>
      <c r="N73" s="128"/>
      <c r="O73" s="33"/>
      <c r="P73" s="32">
        <v>11.8</v>
      </c>
      <c r="Q73" s="31">
        <v>660.93</v>
      </c>
      <c r="R73" s="30">
        <v>7798.97</v>
      </c>
      <c r="S73" s="29">
        <v>9551.3985589999993</v>
      </c>
      <c r="T73" s="27">
        <v>0</v>
      </c>
      <c r="U73" s="26">
        <f>T73*K73</f>
        <v>0</v>
      </c>
      <c r="V73" s="102"/>
      <c r="W73" s="27">
        <f>T73</f>
        <v>0</v>
      </c>
      <c r="X73" s="26">
        <f>U73</f>
        <v>0</v>
      </c>
      <c r="Y73" s="102"/>
      <c r="Z73" s="27">
        <f>T73-W73</f>
        <v>0</v>
      </c>
      <c r="AA73" s="26">
        <f>L73-X73</f>
        <v>7176.8840651999999</v>
      </c>
      <c r="AB73" s="102"/>
    </row>
    <row r="74" spans="1:28" ht="25.5" customHeight="1">
      <c r="A74" s="120" t="s">
        <v>785</v>
      </c>
      <c r="B74" s="120">
        <v>6</v>
      </c>
      <c r="C74" s="119" t="s">
        <v>784</v>
      </c>
      <c r="D74" s="119" t="s">
        <v>783</v>
      </c>
      <c r="E74" s="117" t="s">
        <v>782</v>
      </c>
      <c r="F74" s="117">
        <v>102473</v>
      </c>
      <c r="G74" s="117" t="s">
        <v>26</v>
      </c>
      <c r="H74" s="118" t="s">
        <v>781</v>
      </c>
      <c r="I74" s="117" t="s">
        <v>752</v>
      </c>
      <c r="J74" s="116">
        <f>VLOOKUP(F74,'[1]Planilha Orçamentária'!B74:J451,5,FALSE)</f>
        <v>1.67</v>
      </c>
      <c r="K74" s="115">
        <f>VLOOKUP(F74,'[1]Planilha Orçamentária'!B75:J451,7,FALSE)*$K$1</f>
        <v>508.34847600000001</v>
      </c>
      <c r="L74" s="114">
        <f>K74*J74</f>
        <v>848.94195491999994</v>
      </c>
      <c r="M74" s="113">
        <f>L74/$O$8</f>
        <v>5.0727947108633175E-4</v>
      </c>
      <c r="N74" s="131">
        <f>SUM(L74:L87)</f>
        <v>163476.32876256501</v>
      </c>
      <c r="O74" s="52">
        <f>N74/$O$8</f>
        <v>9.7684164517024025E-2</v>
      </c>
      <c r="P74" s="180">
        <v>1.67</v>
      </c>
      <c r="Q74" s="179">
        <v>566.70000000000005</v>
      </c>
      <c r="R74" s="178">
        <v>946.38</v>
      </c>
      <c r="S74" s="177">
        <v>1159.0315859999998</v>
      </c>
      <c r="T74" s="184">
        <v>0</v>
      </c>
      <c r="U74" s="185">
        <f>T74*K74</f>
        <v>0</v>
      </c>
      <c r="V74" s="81">
        <f>U74+U75+U76+U77+U78+U79+U80+U81+U83+U82+U84+U85+U86+U87</f>
        <v>0</v>
      </c>
      <c r="W74" s="184">
        <f>T74</f>
        <v>0</v>
      </c>
      <c r="X74" s="185">
        <f>U74</f>
        <v>0</v>
      </c>
      <c r="Y74" s="81">
        <f>X74+X75+X76+X77+X78+X79+X80+X81+X83+X82+X84+X85+X86+X87</f>
        <v>0</v>
      </c>
      <c r="Z74" s="184">
        <f>T74-W74</f>
        <v>0</v>
      </c>
      <c r="AA74" s="154">
        <f>L74-X74</f>
        <v>848.94195491999994</v>
      </c>
      <c r="AB74" s="81">
        <f>AA74+AA75+AA76+AA77+AA78+AA79+AA80+AA81+AA83+AA82+AA84+AA85+AA86+AA87</f>
        <v>163476.32876256501</v>
      </c>
    </row>
    <row r="75" spans="1:28" ht="25.5">
      <c r="A75" s="98"/>
      <c r="B75" s="98"/>
      <c r="C75" s="60"/>
      <c r="D75" s="60"/>
      <c r="E75" s="58" t="s">
        <v>780</v>
      </c>
      <c r="F75" s="58">
        <v>92510</v>
      </c>
      <c r="G75" s="58" t="s">
        <v>26</v>
      </c>
      <c r="H75" s="59" t="s">
        <v>779</v>
      </c>
      <c r="I75" s="58" t="s">
        <v>45</v>
      </c>
      <c r="J75" s="57">
        <f>VLOOKUP(F75,'[1]Planilha Orçamentária'!B75:J452,5,FALSE)</f>
        <v>257.39999999999998</v>
      </c>
      <c r="K75" s="56">
        <f>VLOOKUP(F75,'[1]Planilha Orçamentária'!B76:J452,7,FALSE)*$K$1</f>
        <v>69.174117749999994</v>
      </c>
      <c r="L75" s="55">
        <f>K75*J75</f>
        <v>17805.417908849995</v>
      </c>
      <c r="M75" s="54">
        <f>L75/$O$8</f>
        <v>1.0639505948464623E-2</v>
      </c>
      <c r="N75" s="131"/>
      <c r="O75" s="52"/>
      <c r="P75" s="51">
        <v>257.39999999999998</v>
      </c>
      <c r="Q75" s="50">
        <v>76.02</v>
      </c>
      <c r="R75" s="49">
        <v>19567.54</v>
      </c>
      <c r="S75" s="48">
        <v>23964.366237999999</v>
      </c>
      <c r="T75" s="45">
        <v>0</v>
      </c>
      <c r="U75" s="47">
        <f>T75*K75</f>
        <v>0</v>
      </c>
      <c r="V75" s="81"/>
      <c r="W75" s="45">
        <f>T75</f>
        <v>0</v>
      </c>
      <c r="X75" s="47">
        <f>U75</f>
        <v>0</v>
      </c>
      <c r="Y75" s="81"/>
      <c r="Z75" s="45">
        <f>T75-W75</f>
        <v>0</v>
      </c>
      <c r="AA75" s="44">
        <f>L75-X75</f>
        <v>17805.417908849995</v>
      </c>
      <c r="AB75" s="81"/>
    </row>
    <row r="76" spans="1:28" ht="25.5">
      <c r="A76" s="98"/>
      <c r="B76" s="98"/>
      <c r="C76" s="60"/>
      <c r="D76" s="60"/>
      <c r="E76" s="58" t="s">
        <v>778</v>
      </c>
      <c r="F76" s="58">
        <v>101792</v>
      </c>
      <c r="G76" s="58" t="s">
        <v>26</v>
      </c>
      <c r="H76" s="59" t="s">
        <v>777</v>
      </c>
      <c r="I76" s="58" t="s">
        <v>752</v>
      </c>
      <c r="J76" s="57">
        <f>VLOOKUP(F76,'[1]Planilha Orçamentária'!B76:J453,5,FALSE)</f>
        <v>749.34</v>
      </c>
      <c r="K76" s="56">
        <f>VLOOKUP(F76,'[1]Planilha Orçamentária'!B77:J453,7,FALSE)*$K$1</f>
        <v>19.206357749999999</v>
      </c>
      <c r="L76" s="55">
        <f>K76*J76</f>
        <v>14392.092116385</v>
      </c>
      <c r="M76" s="54">
        <f>L76/$O$8</f>
        <v>8.5998964173157645E-3</v>
      </c>
      <c r="N76" s="131"/>
      <c r="O76" s="52"/>
      <c r="P76" s="51">
        <v>749.34</v>
      </c>
      <c r="Q76" s="50">
        <v>20.65</v>
      </c>
      <c r="R76" s="49">
        <v>15473.87</v>
      </c>
      <c r="S76" s="48">
        <v>18950.848589000001</v>
      </c>
      <c r="T76" s="82">
        <v>0</v>
      </c>
      <c r="U76" s="44">
        <f>T76*K76</f>
        <v>0</v>
      </c>
      <c r="V76" s="81"/>
      <c r="W76" s="82">
        <f>T76</f>
        <v>0</v>
      </c>
      <c r="X76" s="44">
        <f>U76</f>
        <v>0</v>
      </c>
      <c r="Y76" s="81"/>
      <c r="Z76" s="82">
        <f>T76-W76</f>
        <v>0</v>
      </c>
      <c r="AA76" s="44">
        <f>L76-X76</f>
        <v>14392.092116385</v>
      </c>
      <c r="AB76" s="81"/>
    </row>
    <row r="77" spans="1:28" ht="25.5">
      <c r="A77" s="98"/>
      <c r="B77" s="98"/>
      <c r="C77" s="60"/>
      <c r="D77" s="60"/>
      <c r="E77" s="58" t="s">
        <v>776</v>
      </c>
      <c r="F77" s="58">
        <v>92768</v>
      </c>
      <c r="G77" s="58" t="s">
        <v>26</v>
      </c>
      <c r="H77" s="59" t="s">
        <v>775</v>
      </c>
      <c r="I77" s="58" t="s">
        <v>319</v>
      </c>
      <c r="J77" s="57">
        <f>VLOOKUP(F77,'[1]Planilha Orçamentária'!B77:J454,5,FALSE)</f>
        <v>105.3</v>
      </c>
      <c r="K77" s="56">
        <f>VLOOKUP(F77,'[1]Planilha Orçamentária'!B78:J454,7,FALSE)*$K$1</f>
        <v>14.567806499999998</v>
      </c>
      <c r="L77" s="55">
        <f>K77*J77</f>
        <v>1533.9900244499997</v>
      </c>
      <c r="M77" s="54">
        <f>L77/$O$8</f>
        <v>9.1662526954276291E-4</v>
      </c>
      <c r="N77" s="131"/>
      <c r="O77" s="52"/>
      <c r="P77" s="51">
        <v>105.3</v>
      </c>
      <c r="Q77" s="50">
        <v>15.73</v>
      </c>
      <c r="R77" s="49">
        <v>1656.36</v>
      </c>
      <c r="S77" s="48">
        <v>2028.5440919999996</v>
      </c>
      <c r="T77" s="82">
        <v>0</v>
      </c>
      <c r="U77" s="44">
        <f>T77*K77</f>
        <v>0</v>
      </c>
      <c r="V77" s="81"/>
      <c r="W77" s="82">
        <f>T77</f>
        <v>0</v>
      </c>
      <c r="X77" s="44">
        <f>U77</f>
        <v>0</v>
      </c>
      <c r="Y77" s="81"/>
      <c r="Z77" s="82">
        <f>T77-W77</f>
        <v>0</v>
      </c>
      <c r="AA77" s="44">
        <f>L77-X77</f>
        <v>1533.9900244499997</v>
      </c>
      <c r="AB77" s="81"/>
    </row>
    <row r="78" spans="1:28" ht="25.5">
      <c r="A78" s="98"/>
      <c r="B78" s="98"/>
      <c r="C78" s="60"/>
      <c r="D78" s="60"/>
      <c r="E78" s="58" t="s">
        <v>774</v>
      </c>
      <c r="F78" s="58">
        <v>92770</v>
      </c>
      <c r="G78" s="58" t="s">
        <v>26</v>
      </c>
      <c r="H78" s="59" t="s">
        <v>773</v>
      </c>
      <c r="I78" s="58" t="s">
        <v>319</v>
      </c>
      <c r="J78" s="57">
        <f>VLOOKUP(F78,'[1]Planilha Orçamentária'!B78:J455,5,FALSE)</f>
        <v>1707.7</v>
      </c>
      <c r="K78" s="56">
        <f>VLOOKUP(F78,'[1]Planilha Orçamentária'!B79:J455,7,FALSE)*$K$1</f>
        <v>12.124529999999996</v>
      </c>
      <c r="L78" s="55">
        <f>K78*J78</f>
        <v>20705.059880999994</v>
      </c>
      <c r="M78" s="54">
        <f>L78/$O$8</f>
        <v>1.2372167218704933E-2</v>
      </c>
      <c r="N78" s="131"/>
      <c r="O78" s="52"/>
      <c r="P78" s="51">
        <v>1707.7</v>
      </c>
      <c r="Q78" s="50">
        <v>13.13</v>
      </c>
      <c r="R78" s="49">
        <v>22422.1</v>
      </c>
      <c r="S78" s="48">
        <v>27460.345869999997</v>
      </c>
      <c r="T78" s="82">
        <v>0</v>
      </c>
      <c r="U78" s="44">
        <f>T78*K78</f>
        <v>0</v>
      </c>
      <c r="V78" s="81"/>
      <c r="W78" s="82">
        <f>T78</f>
        <v>0</v>
      </c>
      <c r="X78" s="44">
        <f>U78</f>
        <v>0</v>
      </c>
      <c r="Y78" s="81"/>
      <c r="Z78" s="82">
        <f>T78-W78</f>
        <v>0</v>
      </c>
      <c r="AA78" s="44">
        <f>L78-X78</f>
        <v>20705.059880999994</v>
      </c>
      <c r="AB78" s="81"/>
    </row>
    <row r="79" spans="1:28" ht="25.5">
      <c r="A79" s="98"/>
      <c r="B79" s="98"/>
      <c r="C79" s="60"/>
      <c r="D79" s="60"/>
      <c r="E79" s="58" t="s">
        <v>772</v>
      </c>
      <c r="F79" s="58">
        <v>92771</v>
      </c>
      <c r="G79" s="58" t="s">
        <v>26</v>
      </c>
      <c r="H79" s="59" t="s">
        <v>771</v>
      </c>
      <c r="I79" s="58" t="s">
        <v>319</v>
      </c>
      <c r="J79" s="57">
        <f>VLOOKUP(F79,'[1]Planilha Orçamentária'!B79:J456,5,FALSE)</f>
        <v>242.6</v>
      </c>
      <c r="K79" s="56">
        <f>VLOOKUP(F79,'[1]Planilha Orçamentária'!B80:J456,7,FALSE)*$K$1</f>
        <v>10.618148999999999</v>
      </c>
      <c r="L79" s="55">
        <f>K79*J79</f>
        <v>2575.9629473999998</v>
      </c>
      <c r="M79" s="54">
        <f>L79/$O$8</f>
        <v>1.539249078128316E-3</v>
      </c>
      <c r="N79" s="131"/>
      <c r="O79" s="52"/>
      <c r="P79" s="51">
        <v>242.6</v>
      </c>
      <c r="Q79" s="50">
        <v>11.53</v>
      </c>
      <c r="R79" s="49">
        <v>2797.17</v>
      </c>
      <c r="S79" s="48">
        <v>3425.6940989999998</v>
      </c>
      <c r="T79" s="82">
        <v>0</v>
      </c>
      <c r="U79" s="44">
        <f>T79*K79</f>
        <v>0</v>
      </c>
      <c r="V79" s="81"/>
      <c r="W79" s="82">
        <f>T79</f>
        <v>0</v>
      </c>
      <c r="X79" s="44">
        <f>U79</f>
        <v>0</v>
      </c>
      <c r="Y79" s="81"/>
      <c r="Z79" s="82">
        <f>T79-W79</f>
        <v>0</v>
      </c>
      <c r="AA79" s="44">
        <f>L79-X79</f>
        <v>2575.9629473999998</v>
      </c>
      <c r="AB79" s="81"/>
    </row>
    <row r="80" spans="1:28" ht="25.5">
      <c r="A80" s="98"/>
      <c r="B80" s="98"/>
      <c r="C80" s="60"/>
      <c r="D80" s="60"/>
      <c r="E80" s="58" t="s">
        <v>770</v>
      </c>
      <c r="F80" s="58">
        <v>92772</v>
      </c>
      <c r="G80" s="58" t="s">
        <v>26</v>
      </c>
      <c r="H80" s="59" t="s">
        <v>769</v>
      </c>
      <c r="I80" s="58" t="s">
        <v>319</v>
      </c>
      <c r="J80" s="57">
        <f>VLOOKUP(F80,'[1]Planilha Orçamentária'!B80:J457,5,FALSE)</f>
        <v>13.4</v>
      </c>
      <c r="K80" s="56">
        <f>VLOOKUP(F80,'[1]Planilha Orçamentária'!B81:J457,7,FALSE)*$K$1</f>
        <v>8.7810989999999993</v>
      </c>
      <c r="L80" s="55">
        <f>K80*J80</f>
        <v>117.66672659999999</v>
      </c>
      <c r="M80" s="54">
        <f>L80/$O$8</f>
        <v>7.0310949397868884E-5</v>
      </c>
      <c r="N80" s="131"/>
      <c r="O80" s="52"/>
      <c r="P80" s="51">
        <v>13.4</v>
      </c>
      <c r="Q80" s="50">
        <v>9.5500000000000007</v>
      </c>
      <c r="R80" s="49">
        <v>127.97</v>
      </c>
      <c r="S80" s="48">
        <v>156.72485899999998</v>
      </c>
      <c r="T80" s="82">
        <v>0</v>
      </c>
      <c r="U80" s="44">
        <f>T80*K80</f>
        <v>0</v>
      </c>
      <c r="V80" s="81"/>
      <c r="W80" s="82">
        <f>T80</f>
        <v>0</v>
      </c>
      <c r="X80" s="44">
        <f>U80</f>
        <v>0</v>
      </c>
      <c r="Y80" s="81"/>
      <c r="Z80" s="82">
        <f>T80-W80</f>
        <v>0</v>
      </c>
      <c r="AA80" s="44">
        <f>L80-X80</f>
        <v>117.66672659999999</v>
      </c>
      <c r="AB80" s="81"/>
    </row>
    <row r="81" spans="1:28" ht="25.5">
      <c r="A81" s="98"/>
      <c r="B81" s="98"/>
      <c r="C81" s="60"/>
      <c r="D81" s="60"/>
      <c r="E81" s="58" t="s">
        <v>768</v>
      </c>
      <c r="F81" s="58">
        <v>103675</v>
      </c>
      <c r="G81" s="58" t="s">
        <v>26</v>
      </c>
      <c r="H81" s="59" t="s">
        <v>767</v>
      </c>
      <c r="I81" s="58" t="s">
        <v>752</v>
      </c>
      <c r="J81" s="57">
        <f>VLOOKUP(F81,'[1]Planilha Orçamentária'!B81:J458,5,FALSE)</f>
        <v>62</v>
      </c>
      <c r="K81" s="56">
        <f>VLOOKUP(F81,'[1]Planilha Orçamentária'!B82:J458,7,FALSE)*$K$1</f>
        <v>609.20252099999993</v>
      </c>
      <c r="L81" s="55">
        <f>K81*J81</f>
        <v>37770.556301999997</v>
      </c>
      <c r="M81" s="54">
        <f>L81/$O$8</f>
        <v>2.2569538132110149E-2</v>
      </c>
      <c r="N81" s="131"/>
      <c r="O81" s="52"/>
      <c r="P81" s="51">
        <v>62</v>
      </c>
      <c r="Q81" s="50">
        <v>661.97</v>
      </c>
      <c r="R81" s="49">
        <v>41042.14</v>
      </c>
      <c r="S81" s="48">
        <v>50264.308857999997</v>
      </c>
      <c r="T81" s="82">
        <v>0</v>
      </c>
      <c r="U81" s="44">
        <f>T81*K81</f>
        <v>0</v>
      </c>
      <c r="V81" s="81"/>
      <c r="W81" s="82">
        <f>T81</f>
        <v>0</v>
      </c>
      <c r="X81" s="44">
        <f>U81</f>
        <v>0</v>
      </c>
      <c r="Y81" s="81"/>
      <c r="Z81" s="82">
        <f>T81-W81</f>
        <v>0</v>
      </c>
      <c r="AA81" s="44">
        <f>L81-X81</f>
        <v>37770.556301999997</v>
      </c>
      <c r="AB81" s="81"/>
    </row>
    <row r="82" spans="1:28" ht="25.5">
      <c r="A82" s="98"/>
      <c r="B82" s="98"/>
      <c r="C82" s="60"/>
      <c r="D82" s="60"/>
      <c r="E82" s="58" t="s">
        <v>766</v>
      </c>
      <c r="F82" s="58">
        <v>103684</v>
      </c>
      <c r="G82" s="58" t="s">
        <v>26</v>
      </c>
      <c r="H82" s="59" t="s">
        <v>765</v>
      </c>
      <c r="I82" s="58" t="s">
        <v>752</v>
      </c>
      <c r="J82" s="57">
        <f>VLOOKUP(F82,'[1]Planilha Orçamentária'!B82:J459,5,FALSE)</f>
        <v>3.5</v>
      </c>
      <c r="K82" s="56">
        <f>VLOOKUP(F82,'[1]Planilha Orçamentária'!B83:J459,7,FALSE)*$K$1</f>
        <v>632.03705249999996</v>
      </c>
      <c r="L82" s="55">
        <f>K82*J82</f>
        <v>2212.1296837499999</v>
      </c>
      <c r="M82" s="54">
        <f>L82/$O$8</f>
        <v>1.3218429946165423E-3</v>
      </c>
      <c r="N82" s="131"/>
      <c r="O82" s="52"/>
      <c r="P82" s="51">
        <v>3.5</v>
      </c>
      <c r="Q82" s="50">
        <v>686.29</v>
      </c>
      <c r="R82" s="49">
        <v>2402.0100000000002</v>
      </c>
      <c r="S82" s="48">
        <v>2941.7416469999998</v>
      </c>
      <c r="T82" s="82">
        <v>0</v>
      </c>
      <c r="U82" s="44">
        <f>T82*K82</f>
        <v>0</v>
      </c>
      <c r="V82" s="81"/>
      <c r="W82" s="82">
        <f>T82</f>
        <v>0</v>
      </c>
      <c r="X82" s="44">
        <f>U82</f>
        <v>0</v>
      </c>
      <c r="Y82" s="81"/>
      <c r="Z82" s="82">
        <f>T82-W82</f>
        <v>0</v>
      </c>
      <c r="AA82" s="44">
        <f>L82-X82</f>
        <v>2212.1296837499999</v>
      </c>
      <c r="AB82" s="81"/>
    </row>
    <row r="83" spans="1:28" ht="25.5">
      <c r="A83" s="98"/>
      <c r="B83" s="98"/>
      <c r="C83" s="60"/>
      <c r="D83" s="60"/>
      <c r="E83" s="58" t="s">
        <v>764</v>
      </c>
      <c r="F83" s="58">
        <v>103076</v>
      </c>
      <c r="G83" s="58" t="s">
        <v>26</v>
      </c>
      <c r="H83" s="59" t="s">
        <v>763</v>
      </c>
      <c r="I83" s="58" t="s">
        <v>45</v>
      </c>
      <c r="J83" s="57">
        <f>VLOOKUP(F83,'[1]Planilha Orçamentária'!B83:J460,5,FALSE)</f>
        <v>224</v>
      </c>
      <c r="K83" s="56">
        <f>VLOOKUP(F83,'[1]Planilha Orçamentária'!B84:J460,7,FALSE)*$K$1</f>
        <v>142.24278150000001</v>
      </c>
      <c r="L83" s="55">
        <f>K83*J83</f>
        <v>31862.383056000002</v>
      </c>
      <c r="M83" s="54">
        <f>L83/$O$8</f>
        <v>1.9039149532574243E-2</v>
      </c>
      <c r="N83" s="131"/>
      <c r="O83" s="52"/>
      <c r="P83" s="51">
        <v>224</v>
      </c>
      <c r="Q83" s="50">
        <v>152.96</v>
      </c>
      <c r="R83" s="49">
        <v>34263.040000000001</v>
      </c>
      <c r="S83" s="48">
        <v>41961.945088</v>
      </c>
      <c r="T83" s="82">
        <v>0</v>
      </c>
      <c r="U83" s="44">
        <f>T83*K83</f>
        <v>0</v>
      </c>
      <c r="V83" s="81"/>
      <c r="W83" s="82">
        <f>T83</f>
        <v>0</v>
      </c>
      <c r="X83" s="44">
        <f>U83</f>
        <v>0</v>
      </c>
      <c r="Y83" s="81"/>
      <c r="Z83" s="82">
        <f>T83-W83</f>
        <v>0</v>
      </c>
      <c r="AA83" s="44">
        <f>L83-X83</f>
        <v>31862.383056000002</v>
      </c>
      <c r="AB83" s="81"/>
    </row>
    <row r="84" spans="1:28" ht="25.5">
      <c r="A84" s="98"/>
      <c r="B84" s="98"/>
      <c r="C84" s="60"/>
      <c r="D84" s="60"/>
      <c r="E84" s="58" t="s">
        <v>762</v>
      </c>
      <c r="F84" s="58">
        <v>102073</v>
      </c>
      <c r="G84" s="58" t="s">
        <v>26</v>
      </c>
      <c r="H84" s="59" t="s">
        <v>761</v>
      </c>
      <c r="I84" s="58" t="s">
        <v>752</v>
      </c>
      <c r="J84" s="57">
        <f>VLOOKUP(F84,'[1]Planilha Orçamentária'!B84:J461,5,FALSE)</f>
        <v>0.11</v>
      </c>
      <c r="K84" s="56">
        <f>VLOOKUP(F84,'[1]Planilha Orçamentária'!B85:J461,7,FALSE)*$K$1</f>
        <v>3979.6014150000001</v>
      </c>
      <c r="L84" s="55">
        <f>K84*J84</f>
        <v>437.75615565000004</v>
      </c>
      <c r="M84" s="54">
        <f>L84/$O$8</f>
        <v>2.6157820309851955E-4</v>
      </c>
      <c r="N84" s="131"/>
      <c r="O84" s="52"/>
      <c r="P84" s="51">
        <v>0.11</v>
      </c>
      <c r="Q84" s="50">
        <v>4346.37</v>
      </c>
      <c r="R84" s="49">
        <v>478.1</v>
      </c>
      <c r="S84" s="48">
        <v>585.52906999999993</v>
      </c>
      <c r="T84" s="82">
        <v>0</v>
      </c>
      <c r="U84" s="44">
        <f>T84*K84</f>
        <v>0</v>
      </c>
      <c r="V84" s="81"/>
      <c r="W84" s="82">
        <f>T84</f>
        <v>0</v>
      </c>
      <c r="X84" s="44">
        <f>U84</f>
        <v>0</v>
      </c>
      <c r="Y84" s="81"/>
      <c r="Z84" s="82">
        <f>T84-W84</f>
        <v>0</v>
      </c>
      <c r="AA84" s="44">
        <f>L84-X84</f>
        <v>437.75615565000004</v>
      </c>
      <c r="AB84" s="81"/>
    </row>
    <row r="85" spans="1:28" ht="25.5">
      <c r="A85" s="98"/>
      <c r="B85" s="98"/>
      <c r="C85" s="60"/>
      <c r="D85" s="60"/>
      <c r="E85" s="58" t="s">
        <v>760</v>
      </c>
      <c r="F85" s="58" t="s">
        <v>759</v>
      </c>
      <c r="G85" s="58" t="s">
        <v>33</v>
      </c>
      <c r="H85" s="59" t="s">
        <v>758</v>
      </c>
      <c r="I85" s="58" t="s">
        <v>319</v>
      </c>
      <c r="J85" s="57">
        <f>VLOOKUP(F85,'[1]Planilha Orçamentária'!B85:J462,5,FALSE)</f>
        <v>640.4</v>
      </c>
      <c r="K85" s="56">
        <f>VLOOKUP(F85,'[1]Planilha Orçamentária'!B86:J462,7,FALSE)*$K$1</f>
        <v>22.696752749999998</v>
      </c>
      <c r="L85" s="55">
        <f>K85*J85</f>
        <v>14535.000461099999</v>
      </c>
      <c r="M85" s="54">
        <f>L85/$O$8</f>
        <v>8.6852903233428005E-3</v>
      </c>
      <c r="N85" s="131"/>
      <c r="O85" s="52"/>
      <c r="P85" s="51">
        <v>640.4</v>
      </c>
      <c r="Q85" s="50">
        <v>24.73</v>
      </c>
      <c r="R85" s="49">
        <v>15837.09</v>
      </c>
      <c r="S85" s="48">
        <v>19395.684122999999</v>
      </c>
      <c r="T85" s="82">
        <v>0</v>
      </c>
      <c r="U85" s="44">
        <f>T85*K85</f>
        <v>0</v>
      </c>
      <c r="V85" s="81"/>
      <c r="W85" s="82">
        <f>T85</f>
        <v>0</v>
      </c>
      <c r="X85" s="44">
        <f>U85</f>
        <v>0</v>
      </c>
      <c r="Y85" s="81"/>
      <c r="Z85" s="82">
        <f>T85-W85</f>
        <v>0</v>
      </c>
      <c r="AA85" s="44">
        <f>L85-X85</f>
        <v>14535.000461099999</v>
      </c>
      <c r="AB85" s="81"/>
    </row>
    <row r="86" spans="1:28">
      <c r="A86" s="98"/>
      <c r="B86" s="98"/>
      <c r="C86" s="60"/>
      <c r="D86" s="60"/>
      <c r="E86" s="58" t="s">
        <v>757</v>
      </c>
      <c r="F86" s="58">
        <v>98557</v>
      </c>
      <c r="G86" s="58" t="s">
        <v>26</v>
      </c>
      <c r="H86" s="59" t="s">
        <v>756</v>
      </c>
      <c r="I86" s="58" t="s">
        <v>45</v>
      </c>
      <c r="J86" s="57">
        <f>VLOOKUP(F86,'[1]Planilha Orçamentária'!B86:J463,5,FALSE)</f>
        <v>300.39999999999998</v>
      </c>
      <c r="K86" s="56">
        <f>VLOOKUP(F86,'[1]Planilha Orçamentária'!B87:J463,7,FALSE)*$K$1</f>
        <v>53.283635249999996</v>
      </c>
      <c r="L86" s="55">
        <f>K86*J86</f>
        <v>16006.404029099998</v>
      </c>
      <c r="M86" s="54">
        <f>L86/$O$8</f>
        <v>9.564517482989917E-3</v>
      </c>
      <c r="N86" s="131"/>
      <c r="O86" s="52"/>
      <c r="P86" s="51">
        <v>300.39999999999998</v>
      </c>
      <c r="Q86" s="50">
        <v>57.52</v>
      </c>
      <c r="R86" s="49">
        <v>17279</v>
      </c>
      <c r="S86" s="48">
        <v>21161.5913</v>
      </c>
      <c r="T86" s="82">
        <v>0</v>
      </c>
      <c r="U86" s="44">
        <f>T86*K86</f>
        <v>0</v>
      </c>
      <c r="V86" s="81"/>
      <c r="W86" s="82">
        <f>T86</f>
        <v>0</v>
      </c>
      <c r="X86" s="44">
        <f>U86</f>
        <v>0</v>
      </c>
      <c r="Y86" s="81"/>
      <c r="Z86" s="82">
        <f>T86-W86</f>
        <v>0</v>
      </c>
      <c r="AA86" s="44">
        <f>L86-X86</f>
        <v>16006.404029099998</v>
      </c>
      <c r="AB86" s="81"/>
    </row>
    <row r="87" spans="1:28" ht="51.75" thickBot="1">
      <c r="A87" s="104"/>
      <c r="B87" s="104"/>
      <c r="C87" s="41"/>
      <c r="D87" s="41"/>
      <c r="E87" s="39" t="s">
        <v>755</v>
      </c>
      <c r="F87" s="39" t="s">
        <v>754</v>
      </c>
      <c r="G87" s="176" t="s">
        <v>33</v>
      </c>
      <c r="H87" s="183" t="s">
        <v>753</v>
      </c>
      <c r="I87" s="176" t="s">
        <v>752</v>
      </c>
      <c r="J87" s="182">
        <v>89.12</v>
      </c>
      <c r="K87" s="181">
        <f>24.49*K1</f>
        <v>29.992902999999995</v>
      </c>
      <c r="L87" s="36">
        <f>K87*J87</f>
        <v>2672.9675153599997</v>
      </c>
      <c r="M87" s="35">
        <f>L87/$O$8</f>
        <v>1.5972134956512359E-3</v>
      </c>
      <c r="N87" s="128"/>
      <c r="O87" s="33"/>
      <c r="P87" s="180">
        <v>89.12</v>
      </c>
      <c r="Q87" s="179">
        <v>32.770000000000003</v>
      </c>
      <c r="R87" s="178">
        <v>2920.46</v>
      </c>
      <c r="S87" s="177">
        <v>3576.6873619999997</v>
      </c>
      <c r="T87" s="27">
        <v>0</v>
      </c>
      <c r="U87" s="26">
        <f>T87*K87</f>
        <v>0</v>
      </c>
      <c r="V87" s="102"/>
      <c r="W87" s="27">
        <f>T87</f>
        <v>0</v>
      </c>
      <c r="X87" s="26">
        <f>U87</f>
        <v>0</v>
      </c>
      <c r="Y87" s="102"/>
      <c r="Z87" s="27">
        <f>T87-W87</f>
        <v>0</v>
      </c>
      <c r="AA87" s="44">
        <f>L87-X87</f>
        <v>2672.9675153599997</v>
      </c>
      <c r="AB87" s="102"/>
    </row>
    <row r="88" spans="1:28" ht="12.75" customHeight="1">
      <c r="A88" s="101" t="s">
        <v>751</v>
      </c>
      <c r="B88" s="101">
        <v>7</v>
      </c>
      <c r="C88" s="79" t="s">
        <v>750</v>
      </c>
      <c r="D88" s="79" t="s">
        <v>749</v>
      </c>
      <c r="E88" s="77" t="s">
        <v>748</v>
      </c>
      <c r="F88" s="77">
        <v>93187</v>
      </c>
      <c r="G88" s="77" t="s">
        <v>26</v>
      </c>
      <c r="H88" s="78" t="s">
        <v>747</v>
      </c>
      <c r="I88" s="77" t="s">
        <v>88</v>
      </c>
      <c r="J88" s="76">
        <f>VLOOKUP(F88,'[1]Planilha Orçamentária'!B88:J465,5,FALSE)</f>
        <v>21.7</v>
      </c>
      <c r="K88" s="75">
        <f>VLOOKUP(F88,'[1]Planilha Orçamentária'!B89:J465,7,FALSE)*$K$1</f>
        <v>82.65806474999998</v>
      </c>
      <c r="L88" s="74">
        <f>K88*J88</f>
        <v>1793.6800050749996</v>
      </c>
      <c r="M88" s="73">
        <f>L88/$O$8</f>
        <v>1.0718012450666534E-3</v>
      </c>
      <c r="N88" s="134">
        <f>SUM(L88:L94)</f>
        <v>47632.285268100008</v>
      </c>
      <c r="O88" s="71">
        <f>N88/$O$8</f>
        <v>2.8462346968953885E-2</v>
      </c>
      <c r="P88" s="180">
        <v>21.7</v>
      </c>
      <c r="Q88" s="179">
        <v>89.9</v>
      </c>
      <c r="R88" s="178">
        <v>1950.83</v>
      </c>
      <c r="S88" s="177">
        <v>2389.1815009999996</v>
      </c>
      <c r="T88" s="64">
        <v>0</v>
      </c>
      <c r="U88" s="66">
        <f>T88*K88</f>
        <v>0</v>
      </c>
      <c r="V88" s="100">
        <f>U88+U89+U90+U91+U92+U93+U94</f>
        <v>0</v>
      </c>
      <c r="W88" s="64">
        <f>T88</f>
        <v>0</v>
      </c>
      <c r="X88" s="66">
        <f>U88</f>
        <v>0</v>
      </c>
      <c r="Y88" s="100">
        <f>X88+X89+X90+X91+X92+X93+X94</f>
        <v>0</v>
      </c>
      <c r="Z88" s="64">
        <f>T88-W88</f>
        <v>0</v>
      </c>
      <c r="AA88" s="63">
        <f>L88-X88</f>
        <v>1793.6800050749996</v>
      </c>
      <c r="AB88" s="99">
        <f>AA88+AA89+AA90+AA91+AA92+AA93+AA94</f>
        <v>47632.285268100008</v>
      </c>
    </row>
    <row r="89" spans="1:28" ht="25.5">
      <c r="A89" s="98"/>
      <c r="B89" s="98"/>
      <c r="C89" s="60"/>
      <c r="D89" s="60"/>
      <c r="E89" s="58" t="s">
        <v>746</v>
      </c>
      <c r="F89" s="58">
        <v>93197</v>
      </c>
      <c r="G89" s="58" t="s">
        <v>26</v>
      </c>
      <c r="H89" s="59" t="s">
        <v>745</v>
      </c>
      <c r="I89" s="58" t="s">
        <v>88</v>
      </c>
      <c r="J89" s="57">
        <f>VLOOKUP(F89,'[1]Planilha Orçamentária'!B89:J466,5,FALSE)</f>
        <v>21.7</v>
      </c>
      <c r="K89" s="56">
        <f>VLOOKUP(F89,'[1]Planilha Orçamentária'!B90:J466,7,FALSE)*$K$1</f>
        <v>59.547975749999999</v>
      </c>
      <c r="L89" s="55">
        <f>K89*J89</f>
        <v>1292.1910737749999</v>
      </c>
      <c r="M89" s="54">
        <f>L89/$O$8</f>
        <v>7.7213995685821931E-4</v>
      </c>
      <c r="N89" s="131"/>
      <c r="O89" s="52"/>
      <c r="P89" s="51">
        <v>21.7</v>
      </c>
      <c r="Q89" s="50">
        <v>65.17</v>
      </c>
      <c r="R89" s="49">
        <v>1414.18</v>
      </c>
      <c r="S89" s="48">
        <v>1731.946246</v>
      </c>
      <c r="T89" s="45">
        <v>0</v>
      </c>
      <c r="U89" s="47">
        <f>T89*K89</f>
        <v>0</v>
      </c>
      <c r="V89" s="83"/>
      <c r="W89" s="45">
        <f>T89</f>
        <v>0</v>
      </c>
      <c r="X89" s="47">
        <f>U89</f>
        <v>0</v>
      </c>
      <c r="Y89" s="83"/>
      <c r="Z89" s="45">
        <f>T89-W89</f>
        <v>0</v>
      </c>
      <c r="AA89" s="44">
        <f>L89-X89</f>
        <v>1292.1910737749999</v>
      </c>
      <c r="AB89" s="81"/>
    </row>
    <row r="90" spans="1:28">
      <c r="A90" s="98"/>
      <c r="B90" s="98"/>
      <c r="C90" s="60"/>
      <c r="D90" s="60"/>
      <c r="E90" s="58" t="s">
        <v>744</v>
      </c>
      <c r="F90" s="58">
        <v>93184</v>
      </c>
      <c r="G90" s="58" t="s">
        <v>26</v>
      </c>
      <c r="H90" s="59" t="s">
        <v>743</v>
      </c>
      <c r="I90" s="58" t="s">
        <v>88</v>
      </c>
      <c r="J90" s="57">
        <f>VLOOKUP(F90,'[1]Planilha Orçamentária'!B90:J467,5,FALSE)</f>
        <v>22</v>
      </c>
      <c r="K90" s="56">
        <f>VLOOKUP(F90,'[1]Planilha Orçamentária'!B91:J467,7,FALSE)*$K$1</f>
        <v>29.071316249999995</v>
      </c>
      <c r="L90" s="55">
        <f>K90*J90</f>
        <v>639.5689574999999</v>
      </c>
      <c r="M90" s="54">
        <f>L90/$O$8</f>
        <v>3.8217006546037674E-4</v>
      </c>
      <c r="N90" s="131"/>
      <c r="O90" s="52"/>
      <c r="P90" s="51">
        <v>22</v>
      </c>
      <c r="Q90" s="50">
        <v>31.91</v>
      </c>
      <c r="R90" s="49">
        <v>702.02</v>
      </c>
      <c r="S90" s="48">
        <v>859.76389399999994</v>
      </c>
      <c r="T90" s="82">
        <v>0</v>
      </c>
      <c r="U90" s="44">
        <f>T90*K90</f>
        <v>0</v>
      </c>
      <c r="V90" s="83"/>
      <c r="W90" s="82">
        <f>T90</f>
        <v>0</v>
      </c>
      <c r="X90" s="44">
        <f>U90</f>
        <v>0</v>
      </c>
      <c r="Y90" s="83"/>
      <c r="Z90" s="82">
        <f>T90-W90</f>
        <v>0</v>
      </c>
      <c r="AA90" s="44">
        <f>L90-X90</f>
        <v>639.5689574999999</v>
      </c>
      <c r="AB90" s="81"/>
    </row>
    <row r="91" spans="1:28" ht="25.5">
      <c r="A91" s="98"/>
      <c r="B91" s="98"/>
      <c r="C91" s="60"/>
      <c r="D91" s="60"/>
      <c r="E91" s="58" t="s">
        <v>742</v>
      </c>
      <c r="F91" s="58">
        <v>93203</v>
      </c>
      <c r="G91" s="58" t="s">
        <v>26</v>
      </c>
      <c r="H91" s="59" t="s">
        <v>741</v>
      </c>
      <c r="I91" s="58" t="s">
        <v>88</v>
      </c>
      <c r="J91" s="57">
        <f>VLOOKUP(F91,'[1]Planilha Orçamentária'!B91:J468,5,FALSE)</f>
        <v>90.22</v>
      </c>
      <c r="K91" s="56">
        <f>VLOOKUP(F91,'[1]Planilha Orçamentária'!B92:J468,7,FALSE)*$K$1</f>
        <v>13.428835499999998</v>
      </c>
      <c r="L91" s="55">
        <f>K91*J91</f>
        <v>1211.5495388099998</v>
      </c>
      <c r="M91" s="54">
        <f>L91/$O$8</f>
        <v>7.2395315802284996E-4</v>
      </c>
      <c r="N91" s="131"/>
      <c r="O91" s="52"/>
      <c r="P91" s="51">
        <v>90.22</v>
      </c>
      <c r="Q91" s="50">
        <v>14.52</v>
      </c>
      <c r="R91" s="49">
        <v>1309.99</v>
      </c>
      <c r="S91" s="48">
        <v>1604.3447529999999</v>
      </c>
      <c r="T91" s="82">
        <v>0</v>
      </c>
      <c r="U91" s="44">
        <f>T91*K91</f>
        <v>0</v>
      </c>
      <c r="V91" s="83"/>
      <c r="W91" s="82">
        <f>T91</f>
        <v>0</v>
      </c>
      <c r="X91" s="44">
        <f>U91</f>
        <v>0</v>
      </c>
      <c r="Y91" s="83"/>
      <c r="Z91" s="82">
        <f>T91-W91</f>
        <v>0</v>
      </c>
      <c r="AA91" s="44">
        <f>L91-X91</f>
        <v>1211.5495388099998</v>
      </c>
      <c r="AB91" s="81"/>
    </row>
    <row r="92" spans="1:28" ht="25.5">
      <c r="A92" s="98"/>
      <c r="B92" s="98"/>
      <c r="C92" s="60"/>
      <c r="D92" s="60"/>
      <c r="E92" s="58" t="s">
        <v>740</v>
      </c>
      <c r="F92" s="58" t="s">
        <v>739</v>
      </c>
      <c r="G92" s="58" t="s">
        <v>33</v>
      </c>
      <c r="H92" s="59" t="s">
        <v>738</v>
      </c>
      <c r="I92" s="58" t="s">
        <v>88</v>
      </c>
      <c r="J92" s="57">
        <f>VLOOKUP(F92,'[1]Planilha Orçamentária'!B92:J469,5,FALSE)</f>
        <v>51.6</v>
      </c>
      <c r="K92" s="56">
        <f>VLOOKUP(F92,'[1]Planilha Orçamentária'!B93:J469,7,FALSE)*$K$1</f>
        <v>58.684562249999999</v>
      </c>
      <c r="L92" s="55">
        <f>K92*J92</f>
        <v>3028.1234121000002</v>
      </c>
      <c r="M92" s="54">
        <f>L92/$O$8</f>
        <v>1.8094344777894518E-3</v>
      </c>
      <c r="N92" s="131"/>
      <c r="O92" s="52"/>
      <c r="P92" s="51">
        <v>51.6</v>
      </c>
      <c r="Q92" s="50">
        <v>64.22</v>
      </c>
      <c r="R92" s="49">
        <v>3313.75</v>
      </c>
      <c r="S92" s="48">
        <v>4058.3496249999998</v>
      </c>
      <c r="T92" s="82">
        <v>0</v>
      </c>
      <c r="U92" s="44">
        <f>T92*K92</f>
        <v>0</v>
      </c>
      <c r="V92" s="83"/>
      <c r="W92" s="82">
        <f>T92</f>
        <v>0</v>
      </c>
      <c r="X92" s="44">
        <f>U92</f>
        <v>0</v>
      </c>
      <c r="Y92" s="83"/>
      <c r="Z92" s="82">
        <f>T92-W92</f>
        <v>0</v>
      </c>
      <c r="AA92" s="44">
        <f>L92-X92</f>
        <v>3028.1234121000002</v>
      </c>
      <c r="AB92" s="81"/>
    </row>
    <row r="93" spans="1:28" ht="25.5">
      <c r="A93" s="98"/>
      <c r="B93" s="98"/>
      <c r="C93" s="60"/>
      <c r="D93" s="60"/>
      <c r="E93" s="58" t="s">
        <v>737</v>
      </c>
      <c r="F93" s="58">
        <v>103322</v>
      </c>
      <c r="G93" s="58" t="s">
        <v>26</v>
      </c>
      <c r="H93" s="59" t="s">
        <v>736</v>
      </c>
      <c r="I93" s="58" t="s">
        <v>45</v>
      </c>
      <c r="J93" s="57">
        <f>VLOOKUP(F93,'[1]Planilha Orçamentária'!B93:J470,5,FALSE)</f>
        <v>448.16</v>
      </c>
      <c r="K93" s="56">
        <f>VLOOKUP(F93,'[1]Planilha Orçamentária'!B94:J470,7,FALSE)*$K$1</f>
        <v>62.744442749999997</v>
      </c>
      <c r="L93" s="55">
        <f>K93*J93</f>
        <v>28119.549462840001</v>
      </c>
      <c r="M93" s="54">
        <f>L93/$O$8</f>
        <v>1.680264486402917E-2</v>
      </c>
      <c r="N93" s="131"/>
      <c r="O93" s="52"/>
      <c r="P93" s="51">
        <v>448.16</v>
      </c>
      <c r="Q93" s="50">
        <v>67.739999999999995</v>
      </c>
      <c r="R93" s="49">
        <v>30358.35</v>
      </c>
      <c r="S93" s="48">
        <v>37179.871244999995</v>
      </c>
      <c r="T93" s="82">
        <v>0</v>
      </c>
      <c r="U93" s="44">
        <f>T93*K93</f>
        <v>0</v>
      </c>
      <c r="V93" s="83"/>
      <c r="W93" s="82">
        <f>T93</f>
        <v>0</v>
      </c>
      <c r="X93" s="44">
        <f>U93</f>
        <v>0</v>
      </c>
      <c r="Y93" s="83"/>
      <c r="Z93" s="82">
        <f>T93-W93</f>
        <v>0</v>
      </c>
      <c r="AA93" s="44">
        <f>L93-X93</f>
        <v>28119.549462840001</v>
      </c>
      <c r="AB93" s="81"/>
    </row>
    <row r="94" spans="1:28" ht="26.25" thickBot="1">
      <c r="A94" s="104"/>
      <c r="B94" s="104"/>
      <c r="C94" s="41"/>
      <c r="D94" s="41"/>
      <c r="E94" s="39" t="s">
        <v>735</v>
      </c>
      <c r="F94" s="39">
        <v>103318</v>
      </c>
      <c r="G94" s="39" t="s">
        <v>26</v>
      </c>
      <c r="H94" s="40" t="s">
        <v>734</v>
      </c>
      <c r="I94" s="39" t="s">
        <v>45</v>
      </c>
      <c r="J94" s="38">
        <f>VLOOKUP(F94,'[1]Planilha Orçamentária'!B94:J471,5,FALSE)</f>
        <v>114</v>
      </c>
      <c r="K94" s="37">
        <f>VLOOKUP(F94,'[1]Planilha Orçamentária'!B95:J471,7,FALSE)*$K$1</f>
        <v>101.294937</v>
      </c>
      <c r="L94" s="36">
        <f>K94*J94</f>
        <v>11547.622818</v>
      </c>
      <c r="M94" s="35">
        <f>L94/$O$8</f>
        <v>6.9002032017271581E-3</v>
      </c>
      <c r="N94" s="128"/>
      <c r="O94" s="33"/>
      <c r="P94" s="51">
        <v>114</v>
      </c>
      <c r="Q94" s="50">
        <v>107.59</v>
      </c>
      <c r="R94" s="49">
        <v>12265.26</v>
      </c>
      <c r="S94" s="48">
        <v>15021.263921999998</v>
      </c>
      <c r="T94" s="27">
        <v>0</v>
      </c>
      <c r="U94" s="26">
        <f>T94*K94</f>
        <v>0</v>
      </c>
      <c r="V94" s="103"/>
      <c r="W94" s="27">
        <f>T94</f>
        <v>0</v>
      </c>
      <c r="X94" s="26">
        <f>U94</f>
        <v>0</v>
      </c>
      <c r="Y94" s="103"/>
      <c r="Z94" s="27">
        <f>T94-W94</f>
        <v>0</v>
      </c>
      <c r="AA94" s="26">
        <f>L94-X94</f>
        <v>11547.622818</v>
      </c>
      <c r="AB94" s="102"/>
    </row>
    <row r="95" spans="1:28" ht="25.5" customHeight="1">
      <c r="A95" s="101" t="s">
        <v>733</v>
      </c>
      <c r="B95" s="101">
        <v>7</v>
      </c>
      <c r="C95" s="79" t="s">
        <v>732</v>
      </c>
      <c r="D95" s="79" t="s">
        <v>731</v>
      </c>
      <c r="E95" s="77" t="s">
        <v>730</v>
      </c>
      <c r="F95" s="77">
        <v>96358</v>
      </c>
      <c r="G95" s="77" t="s">
        <v>26</v>
      </c>
      <c r="H95" s="78" t="s">
        <v>729</v>
      </c>
      <c r="I95" s="77" t="s">
        <v>45</v>
      </c>
      <c r="J95" s="76">
        <f>VLOOKUP(F95,'[1]Planilha Orçamentária'!B95:J472,5,FALSE)</f>
        <v>162</v>
      </c>
      <c r="K95" s="75">
        <f>VLOOKUP(F95,'[1]Planilha Orçamentária'!B96:J472,7,FALSE)*$K$1</f>
        <v>92.651616750000002</v>
      </c>
      <c r="L95" s="74">
        <f>K95*J95</f>
        <v>15009.5619135</v>
      </c>
      <c r="M95" s="73">
        <f>L95/$O$8</f>
        <v>8.9688612803160844E-3</v>
      </c>
      <c r="N95" s="143">
        <f>SUM(L95:L97)</f>
        <v>27242.606456999998</v>
      </c>
      <c r="O95" s="111">
        <f>N95/$O$8</f>
        <v>1.6278633556074323E-2</v>
      </c>
      <c r="P95" s="51">
        <v>162</v>
      </c>
      <c r="Q95" s="50">
        <v>103.92</v>
      </c>
      <c r="R95" s="49">
        <v>16835.04</v>
      </c>
      <c r="S95" s="48">
        <v>20617.873488000001</v>
      </c>
      <c r="T95" s="64">
        <v>0</v>
      </c>
      <c r="U95" s="66">
        <f>T95*K95</f>
        <v>0</v>
      </c>
      <c r="V95" s="125">
        <f>U95+U96+U97</f>
        <v>0</v>
      </c>
      <c r="W95" s="64">
        <f>T95</f>
        <v>0</v>
      </c>
      <c r="X95" s="66">
        <f>U95</f>
        <v>0</v>
      </c>
      <c r="Y95" s="125">
        <f>X95+X96+X97</f>
        <v>0</v>
      </c>
      <c r="Z95" s="64">
        <f>T95-W95</f>
        <v>0</v>
      </c>
      <c r="AA95" s="66">
        <f>L95-X95</f>
        <v>15009.5619135</v>
      </c>
      <c r="AB95" s="125">
        <f>AA95+AA96+AA97</f>
        <v>27242.606456999998</v>
      </c>
    </row>
    <row r="96" spans="1:28" ht="25.5">
      <c r="A96" s="98"/>
      <c r="B96" s="98"/>
      <c r="C96" s="60"/>
      <c r="D96" s="60"/>
      <c r="E96" s="58" t="s">
        <v>728</v>
      </c>
      <c r="F96" s="58" t="s">
        <v>727</v>
      </c>
      <c r="G96" s="58" t="s">
        <v>52</v>
      </c>
      <c r="H96" s="59" t="s">
        <v>726</v>
      </c>
      <c r="I96" s="58" t="s">
        <v>45</v>
      </c>
      <c r="J96" s="57">
        <f>VLOOKUP(F96,'[1]Planilha Orçamentária'!B96:J473,5,FALSE)</f>
        <v>61</v>
      </c>
      <c r="K96" s="56">
        <f>VLOOKUP(F96,'[1]Planilha Orçamentária'!B97:J473,7,FALSE)*$K$1</f>
        <v>105.34563224999999</v>
      </c>
      <c r="L96" s="55">
        <f>K96*J96</f>
        <v>6426.0835672499998</v>
      </c>
      <c r="M96" s="54">
        <f>L96/$O$8</f>
        <v>3.8398623772320658E-3</v>
      </c>
      <c r="N96" s="142"/>
      <c r="O96" s="141"/>
      <c r="P96" s="51">
        <v>61</v>
      </c>
      <c r="Q96" s="50">
        <v>118.22000000000001</v>
      </c>
      <c r="R96" s="49">
        <v>7211.42</v>
      </c>
      <c r="S96" s="48">
        <v>8831.8260739999987</v>
      </c>
      <c r="T96" s="45">
        <v>0</v>
      </c>
      <c r="U96" s="47">
        <f>T96*K96</f>
        <v>0</v>
      </c>
      <c r="V96" s="123"/>
      <c r="W96" s="45">
        <f>T96</f>
        <v>0</v>
      </c>
      <c r="X96" s="47">
        <f>U96</f>
        <v>0</v>
      </c>
      <c r="Y96" s="123"/>
      <c r="Z96" s="45">
        <f>T96-W96</f>
        <v>0</v>
      </c>
      <c r="AA96" s="47">
        <f>L96-X96</f>
        <v>6426.0835672499998</v>
      </c>
      <c r="AB96" s="123"/>
    </row>
    <row r="97" spans="1:28" ht="15" thickBot="1">
      <c r="A97" s="104"/>
      <c r="B97" s="104"/>
      <c r="C97" s="41"/>
      <c r="D97" s="41"/>
      <c r="E97" s="39" t="s">
        <v>725</v>
      </c>
      <c r="F97" s="39" t="s">
        <v>724</v>
      </c>
      <c r="G97" s="39" t="s">
        <v>52</v>
      </c>
      <c r="H97" s="40" t="s">
        <v>723</v>
      </c>
      <c r="I97" s="39" t="s">
        <v>45</v>
      </c>
      <c r="J97" s="38">
        <f>VLOOKUP(F97,'[1]Planilha Orçamentária'!B97:J474,5,FALSE)</f>
        <v>223</v>
      </c>
      <c r="K97" s="37">
        <f>VLOOKUP(F97,'[1]Planilha Orçamentária'!B98:J474,7,FALSE)*$K$1</f>
        <v>26.040183750000001</v>
      </c>
      <c r="L97" s="36">
        <f>K97*J97</f>
        <v>5806.9609762500004</v>
      </c>
      <c r="M97" s="35">
        <f>L97/$O$8</f>
        <v>3.4699098985261742E-3</v>
      </c>
      <c r="N97" s="140"/>
      <c r="O97" s="109"/>
      <c r="P97" s="51">
        <v>223</v>
      </c>
      <c r="Q97" s="50">
        <v>20.76</v>
      </c>
      <c r="R97" s="49">
        <v>4629.4799999999996</v>
      </c>
      <c r="S97" s="48">
        <v>5669.7241559999993</v>
      </c>
      <c r="T97" s="27">
        <v>0</v>
      </c>
      <c r="U97" s="26">
        <f>T97*K97</f>
        <v>0</v>
      </c>
      <c r="V97" s="121"/>
      <c r="W97" s="27">
        <f>T97</f>
        <v>0</v>
      </c>
      <c r="X97" s="26">
        <f>U97</f>
        <v>0</v>
      </c>
      <c r="Y97" s="121"/>
      <c r="Z97" s="27">
        <f>T97-W97</f>
        <v>0</v>
      </c>
      <c r="AA97" s="26">
        <f>L97-X97</f>
        <v>5806.9609762500004</v>
      </c>
      <c r="AB97" s="121"/>
    </row>
    <row r="98" spans="1:28" ht="38.25">
      <c r="A98" s="101" t="s">
        <v>722</v>
      </c>
      <c r="B98" s="101">
        <v>8</v>
      </c>
      <c r="C98" s="79" t="s">
        <v>721</v>
      </c>
      <c r="D98" s="79" t="s">
        <v>720</v>
      </c>
      <c r="E98" s="77" t="s">
        <v>719</v>
      </c>
      <c r="F98" s="77">
        <v>87905</v>
      </c>
      <c r="G98" s="77" t="s">
        <v>26</v>
      </c>
      <c r="H98" s="78" t="s">
        <v>718</v>
      </c>
      <c r="I98" s="77" t="s">
        <v>45</v>
      </c>
      <c r="J98" s="76">
        <f>VLOOKUP(F98,'[1]Planilha Orçamentária'!B98:J475,5,FALSE)</f>
        <v>1124.32</v>
      </c>
      <c r="K98" s="75">
        <f>VLOOKUP(F98,'[1]Planilha Orçamentária'!B99:J475,7,FALSE)*$K$1</f>
        <v>9.7271797499999995</v>
      </c>
      <c r="L98" s="74">
        <f>K98*J98</f>
        <v>10936.462736519999</v>
      </c>
      <c r="M98" s="73">
        <f>L98/$O$8</f>
        <v>6.5350086662403712E-3</v>
      </c>
      <c r="N98" s="143">
        <f>SUM(L98:L100)</f>
        <v>73261.775180819997</v>
      </c>
      <c r="O98" s="111">
        <f>N98/$O$8</f>
        <v>4.3777073743603928E-2</v>
      </c>
      <c r="P98" s="51">
        <v>1124.32</v>
      </c>
      <c r="Q98" s="50">
        <v>10.51</v>
      </c>
      <c r="R98" s="49">
        <v>11816.6</v>
      </c>
      <c r="S98" s="48">
        <v>14471.790019999999</v>
      </c>
      <c r="T98" s="64">
        <v>0</v>
      </c>
      <c r="U98" s="66">
        <f>T98*K98</f>
        <v>0</v>
      </c>
      <c r="V98" s="125">
        <f>U98+U99+U100</f>
        <v>0</v>
      </c>
      <c r="W98" s="64">
        <f>T98</f>
        <v>0</v>
      </c>
      <c r="X98" s="66">
        <f>U98</f>
        <v>0</v>
      </c>
      <c r="Y98" s="125">
        <f>X98+X99+X100</f>
        <v>0</v>
      </c>
      <c r="Z98" s="64">
        <f>T98-W98</f>
        <v>0</v>
      </c>
      <c r="AA98" s="66">
        <f>L98-X98</f>
        <v>10936.462736519999</v>
      </c>
      <c r="AB98" s="125">
        <f>AA98+AA99+AA100</f>
        <v>73261.775180819997</v>
      </c>
    </row>
    <row r="99" spans="1:28" ht="38.25">
      <c r="A99" s="98"/>
      <c r="B99" s="98"/>
      <c r="C99" s="60"/>
      <c r="D99" s="60"/>
      <c r="E99" s="58" t="s">
        <v>717</v>
      </c>
      <c r="F99" s="58">
        <v>104217</v>
      </c>
      <c r="G99" s="58" t="s">
        <v>26</v>
      </c>
      <c r="H99" s="59" t="s">
        <v>716</v>
      </c>
      <c r="I99" s="58" t="s">
        <v>45</v>
      </c>
      <c r="J99" s="57">
        <f>VLOOKUP(F99,'[1]Planilha Orçamentária'!B99:J476,5,FALSE)</f>
        <v>898.32</v>
      </c>
      <c r="K99" s="56">
        <f>VLOOKUP(F99,'[1]Planilha Orçamentária'!B100:J476,7,FALSE)*$K$1</f>
        <v>60.025608749999989</v>
      </c>
      <c r="L99" s="55">
        <f>K99*J99</f>
        <v>53922.20485229999</v>
      </c>
      <c r="M99" s="54">
        <f>L99/$O$8</f>
        <v>3.2220845487441176E-2</v>
      </c>
      <c r="N99" s="142"/>
      <c r="O99" s="141"/>
      <c r="P99" s="51">
        <v>898.32</v>
      </c>
      <c r="Q99" s="50">
        <v>64.760000000000005</v>
      </c>
      <c r="R99" s="49">
        <v>58175.199999999997</v>
      </c>
      <c r="S99" s="48">
        <v>71247.16743999999</v>
      </c>
      <c r="T99" s="45">
        <v>0</v>
      </c>
      <c r="U99" s="47">
        <f>T99*K99</f>
        <v>0</v>
      </c>
      <c r="V99" s="123"/>
      <c r="W99" s="45">
        <f>T99</f>
        <v>0</v>
      </c>
      <c r="X99" s="47">
        <f>U99</f>
        <v>0</v>
      </c>
      <c r="Y99" s="123"/>
      <c r="Z99" s="45">
        <f>T99-W99</f>
        <v>0</v>
      </c>
      <c r="AA99" s="47">
        <f>L99-X99</f>
        <v>53922.20485229999</v>
      </c>
      <c r="AB99" s="123"/>
    </row>
    <row r="100" spans="1:28" ht="39" thickBot="1">
      <c r="A100" s="104"/>
      <c r="B100" s="104"/>
      <c r="C100" s="41"/>
      <c r="D100" s="41"/>
      <c r="E100" s="39" t="s">
        <v>715</v>
      </c>
      <c r="F100" s="39">
        <v>87535</v>
      </c>
      <c r="G100" s="39" t="s">
        <v>26</v>
      </c>
      <c r="H100" s="40" t="s">
        <v>714</v>
      </c>
      <c r="I100" s="39" t="s">
        <v>45</v>
      </c>
      <c r="J100" s="38">
        <f>VLOOKUP(F100,'[1]Planilha Orçamentária'!B100:J477,5,FALSE)</f>
        <v>226</v>
      </c>
      <c r="K100" s="37">
        <f>VLOOKUP(F100,'[1]Planilha Orçamentária'!B101:J477,7,FALSE)*$K$1</f>
        <v>37.181891999999998</v>
      </c>
      <c r="L100" s="36">
        <f>K100*J100</f>
        <v>8403.1075920000003</v>
      </c>
      <c r="M100" s="35">
        <f>L100/$O$8</f>
        <v>5.0212195899223726E-3</v>
      </c>
      <c r="N100" s="140"/>
      <c r="O100" s="109"/>
      <c r="P100" s="51">
        <v>226</v>
      </c>
      <c r="Q100" s="50">
        <v>40.44</v>
      </c>
      <c r="R100" s="49">
        <v>9139.44</v>
      </c>
      <c r="S100" s="48">
        <v>11193.072168000001</v>
      </c>
      <c r="T100" s="27">
        <v>0</v>
      </c>
      <c r="U100" s="26">
        <f>T100*K100</f>
        <v>0</v>
      </c>
      <c r="V100" s="121"/>
      <c r="W100" s="27">
        <f>T100</f>
        <v>0</v>
      </c>
      <c r="X100" s="26">
        <f>U100</f>
        <v>0</v>
      </c>
      <c r="Y100" s="121"/>
      <c r="Z100" s="27">
        <f>T100-W100</f>
        <v>0</v>
      </c>
      <c r="AA100" s="26">
        <f>L100-X100</f>
        <v>8403.1075920000003</v>
      </c>
      <c r="AB100" s="121"/>
    </row>
    <row r="101" spans="1:28" ht="25.5" customHeight="1">
      <c r="A101" s="80" t="s">
        <v>713</v>
      </c>
      <c r="B101" s="80">
        <v>8</v>
      </c>
      <c r="C101" s="79" t="s">
        <v>712</v>
      </c>
      <c r="D101" s="79" t="s">
        <v>711</v>
      </c>
      <c r="E101" s="77" t="s">
        <v>710</v>
      </c>
      <c r="F101" s="77">
        <v>87273</v>
      </c>
      <c r="G101" s="77" t="s">
        <v>26</v>
      </c>
      <c r="H101" s="78" t="s">
        <v>709</v>
      </c>
      <c r="I101" s="77" t="s">
        <v>45</v>
      </c>
      <c r="J101" s="76">
        <f>VLOOKUP(F101,'[1]Planilha Orçamentária'!B101:J478,5,FALSE)</f>
        <v>226</v>
      </c>
      <c r="K101" s="75">
        <f>VLOOKUP(F101,'[1]Planilha Orçamentária'!B102:J478,7,FALSE)*$K$1</f>
        <v>71.351022</v>
      </c>
      <c r="L101" s="74">
        <f>K101*J101</f>
        <v>16125.330972</v>
      </c>
      <c r="M101" s="73">
        <f>L101/$O$8</f>
        <v>9.6355814660368053E-3</v>
      </c>
      <c r="N101" s="134">
        <f>SUM(L101:L105)</f>
        <v>51631.070261429995</v>
      </c>
      <c r="O101" s="71">
        <f>N101/$O$8</f>
        <v>3.0851793649787972E-2</v>
      </c>
      <c r="P101" s="51">
        <v>226</v>
      </c>
      <c r="Q101" s="50">
        <v>81.55</v>
      </c>
      <c r="R101" s="49">
        <v>18430.3</v>
      </c>
      <c r="S101" s="48">
        <v>22571.588409999997</v>
      </c>
      <c r="T101" s="64">
        <v>0</v>
      </c>
      <c r="U101" s="66">
        <f>T101*K101</f>
        <v>0</v>
      </c>
      <c r="V101" s="100">
        <f>U101+U102+U103+U104+U105</f>
        <v>0</v>
      </c>
      <c r="W101" s="64">
        <f>T101</f>
        <v>0</v>
      </c>
      <c r="X101" s="66">
        <f>U101</f>
        <v>0</v>
      </c>
      <c r="Y101" s="100">
        <f>X101+X102+X103+X104+X105</f>
        <v>0</v>
      </c>
      <c r="Z101" s="64">
        <f>T101-W101</f>
        <v>0</v>
      </c>
      <c r="AA101" s="66">
        <f>L101-X101</f>
        <v>16125.330972</v>
      </c>
      <c r="AB101" s="99">
        <f>AA101+AA102+AA103+AA104+AA105</f>
        <v>51631.070261429995</v>
      </c>
    </row>
    <row r="102" spans="1:28" ht="38.25">
      <c r="A102" s="61"/>
      <c r="B102" s="61"/>
      <c r="C102" s="60"/>
      <c r="D102" s="60"/>
      <c r="E102" s="58" t="s">
        <v>708</v>
      </c>
      <c r="F102" s="58">
        <v>87630</v>
      </c>
      <c r="G102" s="58" t="s">
        <v>26</v>
      </c>
      <c r="H102" s="59" t="s">
        <v>707</v>
      </c>
      <c r="I102" s="58" t="s">
        <v>45</v>
      </c>
      <c r="J102" s="57">
        <f>VLOOKUP(F102,'[1]Planilha Orçamentária'!B102:J479,5,FALSE)</f>
        <v>169.7</v>
      </c>
      <c r="K102" s="56">
        <f>VLOOKUP(F102,'[1]Planilha Orçamentária'!B103:J479,7,FALSE)*$K$1</f>
        <v>39.863984999999992</v>
      </c>
      <c r="L102" s="55">
        <f>K102*J102</f>
        <v>6764.9182544999985</v>
      </c>
      <c r="M102" s="54">
        <f>L102/$O$8</f>
        <v>4.0423307320326942E-3</v>
      </c>
      <c r="N102" s="131"/>
      <c r="O102" s="52"/>
      <c r="P102" s="51">
        <v>169.7</v>
      </c>
      <c r="Q102" s="50">
        <v>44.5</v>
      </c>
      <c r="R102" s="49">
        <v>7551.65</v>
      </c>
      <c r="S102" s="48">
        <v>9248.5057549999983</v>
      </c>
      <c r="T102" s="45">
        <v>0</v>
      </c>
      <c r="U102" s="47">
        <f>T102*K102</f>
        <v>0</v>
      </c>
      <c r="V102" s="83"/>
      <c r="W102" s="45">
        <f>T102</f>
        <v>0</v>
      </c>
      <c r="X102" s="47">
        <f>U102</f>
        <v>0</v>
      </c>
      <c r="Y102" s="83"/>
      <c r="Z102" s="45">
        <f>T102-W102</f>
        <v>0</v>
      </c>
      <c r="AA102" s="47">
        <f>L102-X102</f>
        <v>6764.9182544999985</v>
      </c>
      <c r="AB102" s="81"/>
    </row>
    <row r="103" spans="1:28" ht="38.25">
      <c r="A103" s="61"/>
      <c r="B103" s="61"/>
      <c r="C103" s="60"/>
      <c r="D103" s="60"/>
      <c r="E103" s="58" t="s">
        <v>706</v>
      </c>
      <c r="F103" s="58">
        <v>87745</v>
      </c>
      <c r="G103" s="58" t="s">
        <v>26</v>
      </c>
      <c r="H103" s="59" t="s">
        <v>705</v>
      </c>
      <c r="I103" s="58" t="s">
        <v>45</v>
      </c>
      <c r="J103" s="57">
        <f>VLOOKUP(F103,'[1]Planilha Orçamentária'!B103:J480,5,FALSE)</f>
        <v>44.8</v>
      </c>
      <c r="K103" s="56">
        <f>VLOOKUP(F103,'[1]Planilha Orçamentária'!B104:J480,7,FALSE)*$K$1</f>
        <v>56.020839749999993</v>
      </c>
      <c r="L103" s="55">
        <f>K103*J103</f>
        <v>2509.7336207999997</v>
      </c>
      <c r="M103" s="54">
        <f>L103/$O$8</f>
        <v>1.4996741960373277E-3</v>
      </c>
      <c r="N103" s="131"/>
      <c r="O103" s="52"/>
      <c r="P103" s="51">
        <v>44.8</v>
      </c>
      <c r="Q103" s="50">
        <v>61.71</v>
      </c>
      <c r="R103" s="49">
        <v>2764.6</v>
      </c>
      <c r="S103" s="48">
        <v>3385.8056199999996</v>
      </c>
      <c r="T103" s="82">
        <v>0</v>
      </c>
      <c r="U103" s="44">
        <f>T103*K103</f>
        <v>0</v>
      </c>
      <c r="V103" s="83"/>
      <c r="W103" s="82">
        <f>T103</f>
        <v>0</v>
      </c>
      <c r="X103" s="44">
        <f>U103</f>
        <v>0</v>
      </c>
      <c r="Y103" s="83"/>
      <c r="Z103" s="82">
        <f>T103-W103</f>
        <v>0</v>
      </c>
      <c r="AA103" s="47">
        <f>L103-X103</f>
        <v>2509.7336207999997</v>
      </c>
      <c r="AB103" s="81"/>
    </row>
    <row r="104" spans="1:28" ht="25.5">
      <c r="A104" s="61"/>
      <c r="B104" s="61"/>
      <c r="C104" s="60"/>
      <c r="D104" s="60"/>
      <c r="E104" s="58" t="s">
        <v>704</v>
      </c>
      <c r="F104" s="58">
        <v>87263</v>
      </c>
      <c r="G104" s="58" t="s">
        <v>26</v>
      </c>
      <c r="H104" s="59" t="s">
        <v>703</v>
      </c>
      <c r="I104" s="58" t="s">
        <v>45</v>
      </c>
      <c r="J104" s="57">
        <f>VLOOKUP(F104,'[1]Planilha Orçamentária'!B104:J481,5,FALSE)</f>
        <v>205</v>
      </c>
      <c r="K104" s="56">
        <f>VLOOKUP(F104,'[1]Planilha Orçamentária'!B105:J481,7,FALSE)*$K$1</f>
        <v>110.18625899999999</v>
      </c>
      <c r="L104" s="55">
        <f>K104*J104</f>
        <v>22588.183094999997</v>
      </c>
      <c r="M104" s="54">
        <f>L104/$O$8</f>
        <v>1.3497414642809841E-2</v>
      </c>
      <c r="N104" s="131"/>
      <c r="O104" s="52"/>
      <c r="P104" s="51">
        <v>205</v>
      </c>
      <c r="Q104" s="50">
        <v>129.77000000000001</v>
      </c>
      <c r="R104" s="49">
        <v>26602.85</v>
      </c>
      <c r="S104" s="48">
        <v>32580.510394999994</v>
      </c>
      <c r="T104" s="82">
        <v>0</v>
      </c>
      <c r="U104" s="44">
        <f>T104*K104</f>
        <v>0</v>
      </c>
      <c r="V104" s="83"/>
      <c r="W104" s="82">
        <f>T104</f>
        <v>0</v>
      </c>
      <c r="X104" s="44">
        <f>U104</f>
        <v>0</v>
      </c>
      <c r="Y104" s="83"/>
      <c r="Z104" s="82">
        <f>T104-W104</f>
        <v>0</v>
      </c>
      <c r="AA104" s="47">
        <f>L104-X104</f>
        <v>22588.183094999997</v>
      </c>
      <c r="AB104" s="81"/>
    </row>
    <row r="105" spans="1:28" ht="15" thickBot="1">
      <c r="A105" s="42"/>
      <c r="B105" s="42"/>
      <c r="C105" s="41"/>
      <c r="D105" s="41"/>
      <c r="E105" s="39" t="s">
        <v>702</v>
      </c>
      <c r="F105" s="39">
        <v>98689</v>
      </c>
      <c r="G105" s="39" t="s">
        <v>26</v>
      </c>
      <c r="H105" s="40" t="s">
        <v>701</v>
      </c>
      <c r="I105" s="39" t="s">
        <v>88</v>
      </c>
      <c r="J105" s="38">
        <f>VLOOKUP(F105,'[1]Planilha Orçamentária'!B105:J482,5,FALSE)</f>
        <v>26.22</v>
      </c>
      <c r="K105" s="37">
        <f>VLOOKUP(F105,'[1]Planilha Orçamentária'!B106:J482,7,FALSE)*$K$1</f>
        <v>138.93609149999997</v>
      </c>
      <c r="L105" s="36">
        <f>K105*J105</f>
        <v>3642.9043191299993</v>
      </c>
      <c r="M105" s="35">
        <f>L105/$O$8</f>
        <v>2.1767926128713044E-3</v>
      </c>
      <c r="N105" s="128"/>
      <c r="O105" s="33"/>
      <c r="P105" s="51">
        <v>26.22</v>
      </c>
      <c r="Q105" s="50">
        <v>148.58000000000001</v>
      </c>
      <c r="R105" s="49">
        <v>3895.76</v>
      </c>
      <c r="S105" s="48">
        <v>4771.1372719999999</v>
      </c>
      <c r="T105" s="27">
        <v>0</v>
      </c>
      <c r="U105" s="26">
        <f>T105*K105</f>
        <v>0</v>
      </c>
      <c r="V105" s="103"/>
      <c r="W105" s="27">
        <f>T105</f>
        <v>0</v>
      </c>
      <c r="X105" s="26">
        <f>U105</f>
        <v>0</v>
      </c>
      <c r="Y105" s="103"/>
      <c r="Z105" s="27">
        <f>T105-W105</f>
        <v>0</v>
      </c>
      <c r="AA105" s="26">
        <f>L105-X105</f>
        <v>3642.9043191299993</v>
      </c>
      <c r="AB105" s="102"/>
    </row>
    <row r="106" spans="1:28" ht="39" thickBot="1">
      <c r="A106" s="175" t="s">
        <v>700</v>
      </c>
      <c r="B106" s="175">
        <v>9</v>
      </c>
      <c r="C106" s="174" t="s">
        <v>699</v>
      </c>
      <c r="D106" s="174" t="s">
        <v>698</v>
      </c>
      <c r="E106" s="173" t="s">
        <v>697</v>
      </c>
      <c r="F106" s="173">
        <v>39512</v>
      </c>
      <c r="G106" s="173" t="s">
        <v>26</v>
      </c>
      <c r="H106" s="174" t="s">
        <v>696</v>
      </c>
      <c r="I106" s="173" t="s">
        <v>45</v>
      </c>
      <c r="J106" s="172">
        <f>VLOOKUP(F106,'[1]Planilha Orçamentária'!B106:J483,5,FALSE)</f>
        <v>205</v>
      </c>
      <c r="K106" s="171">
        <f>VLOOKUP(F106,'[1]Planilha Orçamentária'!B107:J483,7,FALSE)*$K$1</f>
        <v>108.34920899999999</v>
      </c>
      <c r="L106" s="169">
        <f>K106*J106</f>
        <v>22211.587844999998</v>
      </c>
      <c r="M106" s="170">
        <f>L106/$O$8</f>
        <v>1.3272382721455893E-2</v>
      </c>
      <c r="N106" s="169">
        <f>SUM(L106)</f>
        <v>22211.587844999998</v>
      </c>
      <c r="O106" s="168">
        <f>N106/$O$8</f>
        <v>1.3272382721455893E-2</v>
      </c>
      <c r="P106" s="51">
        <v>205</v>
      </c>
      <c r="Q106" s="50">
        <v>118.74</v>
      </c>
      <c r="R106" s="49">
        <v>24341.7</v>
      </c>
      <c r="S106" s="48">
        <v>29811.279989999999</v>
      </c>
      <c r="T106" s="166">
        <v>0</v>
      </c>
      <c r="U106" s="165">
        <f>T106*K106</f>
        <v>0</v>
      </c>
      <c r="V106" s="167">
        <f>U106</f>
        <v>0</v>
      </c>
      <c r="W106" s="166">
        <f>T106</f>
        <v>0</v>
      </c>
      <c r="X106" s="165">
        <f>U106</f>
        <v>0</v>
      </c>
      <c r="Y106" s="167">
        <f>X106</f>
        <v>0</v>
      </c>
      <c r="Z106" s="166">
        <f>T106-W106</f>
        <v>0</v>
      </c>
      <c r="AA106" s="165">
        <f>L106-X106</f>
        <v>22211.587844999998</v>
      </c>
      <c r="AB106" s="164">
        <f>AA106</f>
        <v>22211.587844999998</v>
      </c>
    </row>
    <row r="107" spans="1:28" ht="63.75">
      <c r="A107" s="101" t="s">
        <v>695</v>
      </c>
      <c r="B107" s="101">
        <v>9</v>
      </c>
      <c r="C107" s="79" t="s">
        <v>694</v>
      </c>
      <c r="D107" s="79" t="s">
        <v>693</v>
      </c>
      <c r="E107" s="77" t="s">
        <v>692</v>
      </c>
      <c r="F107" s="77" t="s">
        <v>691</v>
      </c>
      <c r="G107" s="77" t="s">
        <v>33</v>
      </c>
      <c r="H107" s="78" t="s">
        <v>690</v>
      </c>
      <c r="I107" s="77" t="s">
        <v>45</v>
      </c>
      <c r="J107" s="76">
        <f>VLOOKUP(F107,'[1]Planilha Orçamentária'!B107:J484,5,FALSE)</f>
        <v>43.35</v>
      </c>
      <c r="K107" s="75">
        <f>VLOOKUP(F107,'[1]Planilha Orçamentária'!B108:J484,7,FALSE)*$K$1</f>
        <v>614.95248749999996</v>
      </c>
      <c r="L107" s="74">
        <f>K107*J107</f>
        <v>26658.190333125</v>
      </c>
      <c r="M107" s="73">
        <f>L107/$O$8</f>
        <v>1.5929419689925405E-2</v>
      </c>
      <c r="N107" s="134">
        <f>SUM(L107:L111)</f>
        <v>123343.2111</v>
      </c>
      <c r="O107" s="71">
        <f>N107/$O$8</f>
        <v>7.3702893968521088E-2</v>
      </c>
      <c r="P107" s="97">
        <v>43.35</v>
      </c>
      <c r="Q107" s="50">
        <v>669.5</v>
      </c>
      <c r="R107" s="49">
        <v>29022.82</v>
      </c>
      <c r="S107" s="48">
        <v>35544.247653999999</v>
      </c>
      <c r="T107" s="64">
        <v>0</v>
      </c>
      <c r="U107" s="66">
        <f>T107*K107</f>
        <v>0</v>
      </c>
      <c r="V107" s="100">
        <f>U107+U108+U109+U110+U111</f>
        <v>0</v>
      </c>
      <c r="W107" s="64">
        <f>T107</f>
        <v>0</v>
      </c>
      <c r="X107" s="66">
        <f>U107</f>
        <v>0</v>
      </c>
      <c r="Y107" s="100">
        <f>X107+X108+X109+X110+X111</f>
        <v>0</v>
      </c>
      <c r="Z107" s="64">
        <f>T107-W107</f>
        <v>0</v>
      </c>
      <c r="AA107" s="63">
        <f>L107-X107</f>
        <v>26658.190333125</v>
      </c>
      <c r="AB107" s="99">
        <f>AA107+AA108+AA109+AA110+AA111</f>
        <v>123343.2111</v>
      </c>
    </row>
    <row r="108" spans="1:28" ht="25.5">
      <c r="A108" s="98"/>
      <c r="B108" s="98"/>
      <c r="C108" s="60"/>
      <c r="D108" s="60"/>
      <c r="E108" s="58" t="s">
        <v>689</v>
      </c>
      <c r="F108" s="58" t="s">
        <v>688</v>
      </c>
      <c r="G108" s="58" t="s">
        <v>52</v>
      </c>
      <c r="H108" s="59" t="s">
        <v>687</v>
      </c>
      <c r="I108" s="58" t="s">
        <v>683</v>
      </c>
      <c r="J108" s="57">
        <f>VLOOKUP(F108,'[1]Planilha Orçamentária'!B108:J485,5,FALSE)</f>
        <v>23.9</v>
      </c>
      <c r="K108" s="56">
        <f>VLOOKUP(F108,'[1]Planilha Orçamentária'!B109:J485,7,FALSE)*$K$1</f>
        <v>1744.94949825</v>
      </c>
      <c r="L108" s="55">
        <f>K108*J108</f>
        <v>41704.293008175002</v>
      </c>
      <c r="M108" s="54">
        <f>L108/$O$8</f>
        <v>2.4920115652912959E-2</v>
      </c>
      <c r="N108" s="131"/>
      <c r="O108" s="52"/>
      <c r="P108" s="97">
        <v>23.9</v>
      </c>
      <c r="Q108" s="50">
        <v>1895.8899999999996</v>
      </c>
      <c r="R108" s="49">
        <v>45311.77</v>
      </c>
      <c r="S108" s="48">
        <v>55493.324718999989</v>
      </c>
      <c r="T108" s="45">
        <v>0</v>
      </c>
      <c r="U108" s="47">
        <f>T108*K108</f>
        <v>0</v>
      </c>
      <c r="V108" s="83"/>
      <c r="W108" s="45">
        <f>T108</f>
        <v>0</v>
      </c>
      <c r="X108" s="47">
        <f>U108</f>
        <v>0</v>
      </c>
      <c r="Y108" s="83"/>
      <c r="Z108" s="45">
        <f>T108-W108</f>
        <v>0</v>
      </c>
      <c r="AA108" s="44">
        <f>L108-X108</f>
        <v>41704.293008175002</v>
      </c>
      <c r="AB108" s="81"/>
    </row>
    <row r="109" spans="1:28" ht="25.5">
      <c r="A109" s="98"/>
      <c r="B109" s="98"/>
      <c r="C109" s="60"/>
      <c r="D109" s="60"/>
      <c r="E109" s="58" t="s">
        <v>686</v>
      </c>
      <c r="F109" s="58" t="s">
        <v>685</v>
      </c>
      <c r="G109" s="58" t="s">
        <v>52</v>
      </c>
      <c r="H109" s="59" t="s">
        <v>684</v>
      </c>
      <c r="I109" s="58" t="s">
        <v>683</v>
      </c>
      <c r="J109" s="57">
        <f>VLOOKUP(F109,'[1]Planilha Orçamentária'!B109:J486,5,FALSE)</f>
        <v>181.5</v>
      </c>
      <c r="K109" s="56">
        <f>VLOOKUP(F109,'[1]Planilha Orçamentária'!B110:J486,7,FALSE)*$K$1</f>
        <v>207.99080099999998</v>
      </c>
      <c r="L109" s="55">
        <f>K109*J109</f>
        <v>37750.330381499996</v>
      </c>
      <c r="M109" s="54">
        <f>L109/$O$8</f>
        <v>2.2557452271358407E-2</v>
      </c>
      <c r="N109" s="131"/>
      <c r="O109" s="52"/>
      <c r="P109" s="97">
        <v>181.5</v>
      </c>
      <c r="Q109" s="50">
        <v>242.49</v>
      </c>
      <c r="R109" s="49">
        <v>44011.93</v>
      </c>
      <c r="S109" s="48">
        <v>53901.410670999998</v>
      </c>
      <c r="T109" s="82">
        <v>0</v>
      </c>
      <c r="U109" s="44">
        <f>T109*K109</f>
        <v>0</v>
      </c>
      <c r="V109" s="83"/>
      <c r="W109" s="82">
        <f>T109</f>
        <v>0</v>
      </c>
      <c r="X109" s="44">
        <f>U109</f>
        <v>0</v>
      </c>
      <c r="Y109" s="83"/>
      <c r="Z109" s="82">
        <f>T109-W109</f>
        <v>0</v>
      </c>
      <c r="AA109" s="44">
        <f>L109-X109</f>
        <v>37750.330381499996</v>
      </c>
      <c r="AB109" s="81"/>
    </row>
    <row r="110" spans="1:28" ht="13.9" customHeight="1">
      <c r="A110" s="98"/>
      <c r="B110" s="98"/>
      <c r="C110" s="60"/>
      <c r="D110" s="60"/>
      <c r="E110" s="58" t="s">
        <v>682</v>
      </c>
      <c r="F110" s="58" t="s">
        <v>681</v>
      </c>
      <c r="G110" s="58" t="s">
        <v>52</v>
      </c>
      <c r="H110" s="59" t="s">
        <v>680</v>
      </c>
      <c r="I110" s="58" t="s">
        <v>88</v>
      </c>
      <c r="J110" s="57">
        <f>VLOOKUP(F110,'[1]Planilha Orçamentária'!B110:J487,5,FALSE)</f>
        <v>169.7</v>
      </c>
      <c r="K110" s="56">
        <f>VLOOKUP(F110,'[1]Planilha Orçamentária'!B111:J487,7,FALSE)*$K$1</f>
        <v>23.367276</v>
      </c>
      <c r="L110" s="55">
        <f>K110*J110</f>
        <v>3965.4267371999999</v>
      </c>
      <c r="M110" s="54">
        <f>L110/$O$8</f>
        <v>2.3695136825555708E-3</v>
      </c>
      <c r="N110" s="131"/>
      <c r="O110" s="52"/>
      <c r="P110" s="97">
        <v>169.7</v>
      </c>
      <c r="Q110" s="50">
        <v>27.88</v>
      </c>
      <c r="R110" s="49">
        <v>4731.2299999999996</v>
      </c>
      <c r="S110" s="48">
        <v>5794.3373809999994</v>
      </c>
      <c r="T110" s="82">
        <v>0</v>
      </c>
      <c r="U110" s="44">
        <f>T110*K110</f>
        <v>0</v>
      </c>
      <c r="V110" s="83"/>
      <c r="W110" s="82">
        <f>T110</f>
        <v>0</v>
      </c>
      <c r="X110" s="44">
        <f>U110</f>
        <v>0</v>
      </c>
      <c r="Y110" s="83"/>
      <c r="Z110" s="82">
        <f>T110-W110</f>
        <v>0</v>
      </c>
      <c r="AA110" s="44">
        <f>L110-X110</f>
        <v>3965.4267371999999</v>
      </c>
      <c r="AB110" s="81"/>
    </row>
    <row r="111" spans="1:28" ht="26.25" thickBot="1">
      <c r="A111" s="104"/>
      <c r="B111" s="104"/>
      <c r="C111" s="41"/>
      <c r="D111" s="41"/>
      <c r="E111" s="39" t="s">
        <v>679</v>
      </c>
      <c r="F111" s="39" t="s">
        <v>678</v>
      </c>
      <c r="G111" s="39" t="s">
        <v>33</v>
      </c>
      <c r="H111" s="40" t="s">
        <v>677</v>
      </c>
      <c r="I111" s="39" t="s">
        <v>24</v>
      </c>
      <c r="J111" s="38">
        <v>120</v>
      </c>
      <c r="K111" s="37">
        <f>90.26*K1</f>
        <v>110.541422</v>
      </c>
      <c r="L111" s="36">
        <f>K111*J111</f>
        <v>13264.97064</v>
      </c>
      <c r="M111" s="35">
        <f>L111/$O$8</f>
        <v>7.9263926717687457E-3</v>
      </c>
      <c r="N111" s="128"/>
      <c r="O111" s="33"/>
      <c r="P111" s="97">
        <v>120</v>
      </c>
      <c r="Q111" s="50">
        <v>120.34</v>
      </c>
      <c r="R111" s="49">
        <v>14440.8</v>
      </c>
      <c r="S111" s="48">
        <v>17685.647759999996</v>
      </c>
      <c r="T111" s="27">
        <v>0</v>
      </c>
      <c r="U111" s="26">
        <f>T111*K111</f>
        <v>0</v>
      </c>
      <c r="V111" s="103"/>
      <c r="W111" s="27">
        <f>T111</f>
        <v>0</v>
      </c>
      <c r="X111" s="26">
        <f>U111</f>
        <v>0</v>
      </c>
      <c r="Y111" s="103"/>
      <c r="Z111" s="27">
        <f>T111-W111</f>
        <v>0</v>
      </c>
      <c r="AA111" s="26">
        <f>L111-X111</f>
        <v>13264.97064</v>
      </c>
      <c r="AB111" s="102"/>
    </row>
    <row r="112" spans="1:28" ht="25.5">
      <c r="A112" s="80" t="s">
        <v>676</v>
      </c>
      <c r="B112" s="80">
        <v>9</v>
      </c>
      <c r="C112" s="79" t="s">
        <v>675</v>
      </c>
      <c r="D112" s="79" t="s">
        <v>674</v>
      </c>
      <c r="E112" s="78" t="s">
        <v>673</v>
      </c>
      <c r="F112" s="77">
        <v>104658</v>
      </c>
      <c r="G112" s="77" t="s">
        <v>26</v>
      </c>
      <c r="H112" s="78" t="s">
        <v>672</v>
      </c>
      <c r="I112" s="77" t="s">
        <v>45</v>
      </c>
      <c r="J112" s="76">
        <f>VLOOKUP(F112,'[1]Planilha Orçamentária'!B112:J489,5,FALSE)</f>
        <v>0.87</v>
      </c>
      <c r="K112" s="75">
        <f>VLOOKUP(F112,'[1]Planilha Orçamentária'!B113:J489,7,FALSE)*$K$1</f>
        <v>162.86366775000002</v>
      </c>
      <c r="L112" s="74">
        <f>K112*J112</f>
        <v>141.69139094250002</v>
      </c>
      <c r="M112" s="73">
        <f>L112/$O$8</f>
        <v>8.4666723606057864E-5</v>
      </c>
      <c r="N112" s="143">
        <f>SUM(L112:L114)</f>
        <v>14258.151239392497</v>
      </c>
      <c r="O112" s="111">
        <f>N112/$O$8</f>
        <v>8.5198609604228374E-3</v>
      </c>
      <c r="P112" s="51">
        <v>0.87</v>
      </c>
      <c r="Q112" s="50">
        <v>179.02</v>
      </c>
      <c r="R112" s="49">
        <v>155.74</v>
      </c>
      <c r="S112" s="48">
        <v>190.73477800000001</v>
      </c>
      <c r="T112" s="64">
        <v>0</v>
      </c>
      <c r="U112" s="66">
        <f>T112*K112</f>
        <v>0</v>
      </c>
      <c r="V112" s="125">
        <f>U112+U113+U114</f>
        <v>0</v>
      </c>
      <c r="W112" s="64">
        <f>T112</f>
        <v>0</v>
      </c>
      <c r="X112" s="66">
        <f>U112</f>
        <v>0</v>
      </c>
      <c r="Y112" s="125">
        <f>X112+X113+X114</f>
        <v>0</v>
      </c>
      <c r="Z112" s="64">
        <f>T112-W112</f>
        <v>0</v>
      </c>
      <c r="AA112" s="66">
        <f>L112-X112</f>
        <v>141.69139094250002</v>
      </c>
      <c r="AB112" s="125">
        <f>AA112+AA113+AA114</f>
        <v>14258.151239392497</v>
      </c>
    </row>
    <row r="113" spans="1:28">
      <c r="A113" s="61"/>
      <c r="B113" s="61"/>
      <c r="C113" s="60"/>
      <c r="D113" s="60"/>
      <c r="E113" s="59" t="s">
        <v>671</v>
      </c>
      <c r="F113" s="58">
        <v>38182</v>
      </c>
      <c r="G113" s="58" t="s">
        <v>26</v>
      </c>
      <c r="H113" s="59" t="s">
        <v>670</v>
      </c>
      <c r="I113" s="58" t="s">
        <v>45</v>
      </c>
      <c r="J113" s="57">
        <f>VLOOKUP(F113,'[1]Planilha Orçamentária'!B113:J490,5,FALSE)</f>
        <v>2.4500000000000002</v>
      </c>
      <c r="K113" s="56">
        <f>VLOOKUP(F113,'[1]Planilha Orçamentária'!B114:J490,7,FALSE)*$K$1</f>
        <v>252.26370599999996</v>
      </c>
      <c r="L113" s="55">
        <f>K113*J113</f>
        <v>618.04607969999995</v>
      </c>
      <c r="M113" s="54">
        <f>L113/$O$8</f>
        <v>3.6930921672582621E-4</v>
      </c>
      <c r="N113" s="142"/>
      <c r="O113" s="141"/>
      <c r="P113" s="51">
        <v>2.4500000000000002</v>
      </c>
      <c r="Q113" s="50">
        <v>274.64</v>
      </c>
      <c r="R113" s="49">
        <v>672.86</v>
      </c>
      <c r="S113" s="48">
        <v>824.0516419999999</v>
      </c>
      <c r="T113" s="45">
        <v>0</v>
      </c>
      <c r="U113" s="47">
        <f>T113*K113</f>
        <v>0</v>
      </c>
      <c r="V113" s="123"/>
      <c r="W113" s="45">
        <f>T113</f>
        <v>0</v>
      </c>
      <c r="X113" s="47">
        <f>U113</f>
        <v>0</v>
      </c>
      <c r="Y113" s="123"/>
      <c r="Z113" s="45">
        <f>T113-W113</f>
        <v>0</v>
      </c>
      <c r="AA113" s="47">
        <f>L113-X113</f>
        <v>618.04607969999995</v>
      </c>
      <c r="AB113" s="123"/>
    </row>
    <row r="114" spans="1:28" ht="26.25" thickBot="1">
      <c r="A114" s="42"/>
      <c r="B114" s="42"/>
      <c r="C114" s="41"/>
      <c r="D114" s="41"/>
      <c r="E114" s="40" t="s">
        <v>669</v>
      </c>
      <c r="F114" s="39">
        <v>101966</v>
      </c>
      <c r="G114" s="39" t="s">
        <v>26</v>
      </c>
      <c r="H114" s="40" t="s">
        <v>668</v>
      </c>
      <c r="I114" s="39" t="s">
        <v>88</v>
      </c>
      <c r="J114" s="38">
        <f>VLOOKUP(F114,'[1]Planilha Orçamentária'!B114:J491,5,FALSE)</f>
        <v>72.5</v>
      </c>
      <c r="K114" s="37">
        <f>VLOOKUP(F114,'[1]Planilha Orçamentária'!B115:J491,7,FALSE)*$K$1</f>
        <v>186.18501749999996</v>
      </c>
      <c r="L114" s="36">
        <f>K114*J114</f>
        <v>13498.413768749997</v>
      </c>
      <c r="M114" s="35">
        <f>L114/$O$8</f>
        <v>8.0658850200909533E-3</v>
      </c>
      <c r="N114" s="140"/>
      <c r="O114" s="109"/>
      <c r="P114" s="51">
        <v>72.5</v>
      </c>
      <c r="Q114" s="50">
        <v>202.61</v>
      </c>
      <c r="R114" s="49">
        <v>14689.22</v>
      </c>
      <c r="S114" s="48">
        <v>17989.887733999996</v>
      </c>
      <c r="T114" s="27">
        <v>0</v>
      </c>
      <c r="U114" s="26">
        <f>T114*K114</f>
        <v>0</v>
      </c>
      <c r="V114" s="121"/>
      <c r="W114" s="27">
        <f>T114</f>
        <v>0</v>
      </c>
      <c r="X114" s="26">
        <f>U114</f>
        <v>0</v>
      </c>
      <c r="Y114" s="121"/>
      <c r="Z114" s="27">
        <f>T114-W114</f>
        <v>0</v>
      </c>
      <c r="AA114" s="26">
        <f>L114-X114</f>
        <v>13498.413768749997</v>
      </c>
      <c r="AB114" s="121"/>
    </row>
    <row r="115" spans="1:28" ht="38.25">
      <c r="A115" s="136" t="s">
        <v>667</v>
      </c>
      <c r="B115" s="136">
        <v>10</v>
      </c>
      <c r="C115" s="162" t="s">
        <v>666</v>
      </c>
      <c r="D115" s="162" t="s">
        <v>665</v>
      </c>
      <c r="E115" s="77" t="s">
        <v>664</v>
      </c>
      <c r="F115" s="77">
        <v>90789</v>
      </c>
      <c r="G115" s="77" t="s">
        <v>26</v>
      </c>
      <c r="H115" s="78" t="s">
        <v>663</v>
      </c>
      <c r="I115" s="77" t="s">
        <v>24</v>
      </c>
      <c r="J115" s="76">
        <f>VLOOKUP(F115,'[1]Planilha Orçamentária'!B115:J492,5,FALSE)</f>
        <v>4</v>
      </c>
      <c r="K115" s="75">
        <f>VLOOKUP(F115,'[1]Planilha Orçamentária'!B116:J492,7,FALSE)*$K$1</f>
        <v>899.90649824999991</v>
      </c>
      <c r="L115" s="74">
        <f>K115*J115</f>
        <v>3599.6259929999997</v>
      </c>
      <c r="M115" s="73">
        <f>L115/$O$8</f>
        <v>2.1509319444693088E-3</v>
      </c>
      <c r="N115" s="134">
        <f>SUM(L115:L119)</f>
        <v>21760.233845249997</v>
      </c>
      <c r="O115" s="71">
        <f>N115/$O$8</f>
        <v>1.3002679219421462E-2</v>
      </c>
      <c r="P115" s="97">
        <v>4</v>
      </c>
      <c r="Q115" s="50">
        <v>946.97</v>
      </c>
      <c r="R115" s="49">
        <v>3787.88</v>
      </c>
      <c r="S115" s="48">
        <v>4639.0166359999994</v>
      </c>
      <c r="T115" s="64">
        <v>0</v>
      </c>
      <c r="U115" s="66">
        <f>T115*K115</f>
        <v>0</v>
      </c>
      <c r="V115" s="100">
        <f>U115+U116+U117+U118+U119</f>
        <v>0</v>
      </c>
      <c r="W115" s="64">
        <f>T115</f>
        <v>0</v>
      </c>
      <c r="X115" s="66">
        <f>U115</f>
        <v>0</v>
      </c>
      <c r="Y115" s="100">
        <f>X115+X116+X117+X118+X119</f>
        <v>0</v>
      </c>
      <c r="Z115" s="64">
        <f>T115-W115</f>
        <v>0</v>
      </c>
      <c r="AA115" s="66">
        <f>L115-X115</f>
        <v>3599.6259929999997</v>
      </c>
      <c r="AB115" s="99">
        <f>AA115+AA116+AA117+AA118+AA119</f>
        <v>21760.233845249997</v>
      </c>
    </row>
    <row r="116" spans="1:28" ht="38.25">
      <c r="A116" s="133"/>
      <c r="B116" s="133"/>
      <c r="C116" s="153"/>
      <c r="D116" s="153"/>
      <c r="E116" s="58" t="s">
        <v>662</v>
      </c>
      <c r="F116" s="58">
        <v>90790</v>
      </c>
      <c r="G116" s="58" t="s">
        <v>26</v>
      </c>
      <c r="H116" s="59" t="s">
        <v>661</v>
      </c>
      <c r="I116" s="58" t="s">
        <v>24</v>
      </c>
      <c r="J116" s="57">
        <f>VLOOKUP(F116,'[1]Planilha Orçamentária'!B116:J493,5,FALSE)</f>
        <v>12</v>
      </c>
      <c r="K116" s="56">
        <f>VLOOKUP(F116,'[1]Planilha Orçamentária'!B117:J493,7,FALSE)*$K$1</f>
        <v>928.69307174999994</v>
      </c>
      <c r="L116" s="55">
        <f>K116*J116</f>
        <v>11144.316860999999</v>
      </c>
      <c r="M116" s="54">
        <f>L116/$O$8</f>
        <v>6.6592104797074218E-3</v>
      </c>
      <c r="N116" s="131"/>
      <c r="O116" s="52"/>
      <c r="P116" s="97">
        <v>12</v>
      </c>
      <c r="Q116" s="50">
        <v>977.29</v>
      </c>
      <c r="R116" s="49">
        <v>11727.48</v>
      </c>
      <c r="S116" s="48">
        <v>14362.644755999998</v>
      </c>
      <c r="T116" s="45">
        <v>0</v>
      </c>
      <c r="U116" s="47">
        <f>T116*K116</f>
        <v>0</v>
      </c>
      <c r="V116" s="83"/>
      <c r="W116" s="45">
        <f>T116</f>
        <v>0</v>
      </c>
      <c r="X116" s="47">
        <f>U116</f>
        <v>0</v>
      </c>
      <c r="Y116" s="83"/>
      <c r="Z116" s="45">
        <f>T116-W116</f>
        <v>0</v>
      </c>
      <c r="AA116" s="47">
        <f>L116-X116</f>
        <v>11144.316860999999</v>
      </c>
      <c r="AB116" s="81"/>
    </row>
    <row r="117" spans="1:28" ht="38.25">
      <c r="A117" s="133"/>
      <c r="B117" s="133"/>
      <c r="C117" s="153"/>
      <c r="D117" s="153"/>
      <c r="E117" s="58" t="s">
        <v>660</v>
      </c>
      <c r="F117" s="58">
        <v>90793</v>
      </c>
      <c r="G117" s="58" t="s">
        <v>26</v>
      </c>
      <c r="H117" s="59" t="s">
        <v>659</v>
      </c>
      <c r="I117" s="58" t="s">
        <v>24</v>
      </c>
      <c r="J117" s="57">
        <f>VLOOKUP(F117,'[1]Planilha Orçamentária'!B117:J494,5,FALSE)</f>
        <v>3</v>
      </c>
      <c r="K117" s="56">
        <f>VLOOKUP(F117,'[1]Planilha Orçamentária'!B118:J494,7,FALSE)*$K$1</f>
        <v>1149.2676652499999</v>
      </c>
      <c r="L117" s="55">
        <f>K117*J117</f>
        <v>3447.8029957499998</v>
      </c>
      <c r="M117" s="54">
        <f>L117/$O$8</f>
        <v>2.0602111486629814E-3</v>
      </c>
      <c r="N117" s="131"/>
      <c r="O117" s="52"/>
      <c r="P117" s="97">
        <v>3</v>
      </c>
      <c r="Q117" s="50">
        <v>1210.43</v>
      </c>
      <c r="R117" s="49">
        <v>3631.29</v>
      </c>
      <c r="S117" s="48">
        <v>4447.240863</v>
      </c>
      <c r="T117" s="82">
        <v>0</v>
      </c>
      <c r="U117" s="44">
        <f>T117*K117</f>
        <v>0</v>
      </c>
      <c r="V117" s="83"/>
      <c r="W117" s="82">
        <f>T117</f>
        <v>0</v>
      </c>
      <c r="X117" s="44">
        <f>U117</f>
        <v>0</v>
      </c>
      <c r="Y117" s="83"/>
      <c r="Z117" s="82">
        <f>T117-W117</f>
        <v>0</v>
      </c>
      <c r="AA117" s="47">
        <f>L117-X117</f>
        <v>3447.8029957499998</v>
      </c>
      <c r="AB117" s="81"/>
    </row>
    <row r="118" spans="1:28" ht="25.5">
      <c r="A118" s="133"/>
      <c r="B118" s="133"/>
      <c r="C118" s="153"/>
      <c r="D118" s="153"/>
      <c r="E118" s="58" t="s">
        <v>658</v>
      </c>
      <c r="F118" s="58">
        <v>90830</v>
      </c>
      <c r="G118" s="58" t="s">
        <v>26</v>
      </c>
      <c r="H118" s="59" t="s">
        <v>657</v>
      </c>
      <c r="I118" s="58" t="s">
        <v>24</v>
      </c>
      <c r="J118" s="57">
        <f>VLOOKUP(F118,'[1]Planilha Orçamentária'!B118:J495,5,FALSE)</f>
        <v>11</v>
      </c>
      <c r="K118" s="56">
        <f>VLOOKUP(F118,'[1]Planilha Orçamentária'!B119:J495,7,FALSE)*$K$1</f>
        <v>198.78718049999998</v>
      </c>
      <c r="L118" s="55">
        <f>K118*J118</f>
        <v>2186.6589854999997</v>
      </c>
      <c r="M118" s="54">
        <f>L118/$O$8</f>
        <v>1.3066231527161885E-3</v>
      </c>
      <c r="N118" s="131"/>
      <c r="O118" s="52"/>
      <c r="P118" s="97">
        <v>11</v>
      </c>
      <c r="Q118" s="50">
        <v>209.1</v>
      </c>
      <c r="R118" s="49">
        <v>2300.1</v>
      </c>
      <c r="S118" s="48">
        <v>2816.9324699999997</v>
      </c>
      <c r="T118" s="82">
        <v>0</v>
      </c>
      <c r="U118" s="44">
        <f>T118*K118</f>
        <v>0</v>
      </c>
      <c r="V118" s="83"/>
      <c r="W118" s="82">
        <f>T118</f>
        <v>0</v>
      </c>
      <c r="X118" s="44">
        <f>U118</f>
        <v>0</v>
      </c>
      <c r="Y118" s="83"/>
      <c r="Z118" s="82">
        <f>T118-W118</f>
        <v>0</v>
      </c>
      <c r="AA118" s="47">
        <f>L118-X118</f>
        <v>2186.6589854999997</v>
      </c>
      <c r="AB118" s="81"/>
    </row>
    <row r="119" spans="1:28" ht="26.25" thickBot="1">
      <c r="A119" s="130"/>
      <c r="B119" s="130"/>
      <c r="C119" s="148"/>
      <c r="D119" s="148"/>
      <c r="E119" s="39" t="s">
        <v>656</v>
      </c>
      <c r="F119" s="39">
        <v>90831</v>
      </c>
      <c r="G119" s="39" t="s">
        <v>26</v>
      </c>
      <c r="H119" s="40" t="s">
        <v>655</v>
      </c>
      <c r="I119" s="39" t="s">
        <v>24</v>
      </c>
      <c r="J119" s="38">
        <f>VLOOKUP(F119,'[1]Planilha Orçamentária'!B119:J496,5,FALSE)</f>
        <v>8</v>
      </c>
      <c r="K119" s="37">
        <f>VLOOKUP(F119,'[1]Planilha Orçamentária'!B120:J496,7,FALSE)*$K$1</f>
        <v>172.72862625000002</v>
      </c>
      <c r="L119" s="36">
        <f>K119*J119</f>
        <v>1381.8290100000002</v>
      </c>
      <c r="M119" s="35">
        <f>L119/$O$8</f>
        <v>8.2570249386556215E-4</v>
      </c>
      <c r="N119" s="128"/>
      <c r="O119" s="33"/>
      <c r="P119" s="97">
        <v>8</v>
      </c>
      <c r="Q119" s="50">
        <v>181.49</v>
      </c>
      <c r="R119" s="49">
        <v>1451.92</v>
      </c>
      <c r="S119" s="48">
        <v>1778.166424</v>
      </c>
      <c r="T119" s="27">
        <v>0</v>
      </c>
      <c r="U119" s="26">
        <f>T119*K119</f>
        <v>0</v>
      </c>
      <c r="V119" s="103"/>
      <c r="W119" s="27">
        <f>T119</f>
        <v>0</v>
      </c>
      <c r="X119" s="26">
        <f>U119</f>
        <v>0</v>
      </c>
      <c r="Y119" s="103"/>
      <c r="Z119" s="27">
        <f>T119-W119</f>
        <v>0</v>
      </c>
      <c r="AA119" s="26">
        <f>L119-X119</f>
        <v>1381.8290100000002</v>
      </c>
      <c r="AB119" s="102"/>
    </row>
    <row r="120" spans="1:28" ht="25.5" customHeight="1">
      <c r="A120" s="101" t="s">
        <v>654</v>
      </c>
      <c r="B120" s="101">
        <v>10</v>
      </c>
      <c r="C120" s="79" t="s">
        <v>653</v>
      </c>
      <c r="D120" s="79" t="s">
        <v>652</v>
      </c>
      <c r="E120" s="77" t="s">
        <v>651</v>
      </c>
      <c r="F120" s="77" t="s">
        <v>650</v>
      </c>
      <c r="G120" s="77" t="s">
        <v>52</v>
      </c>
      <c r="H120" s="78" t="s">
        <v>649</v>
      </c>
      <c r="I120" s="77" t="s">
        <v>88</v>
      </c>
      <c r="J120" s="76">
        <f>VLOOKUP(F120,'[1]Planilha Orçamentária'!B120:J497,5,FALSE)</f>
        <v>19</v>
      </c>
      <c r="K120" s="75">
        <f>VLOOKUP(F120,'[1]Planilha Orçamentária'!B121:J497,7,FALSE)*$K$1</f>
        <v>305.57489699999996</v>
      </c>
      <c r="L120" s="74">
        <f>K120*J120</f>
        <v>5805.9230429999989</v>
      </c>
      <c r="M120" s="73">
        <f>L120/$O$8</f>
        <v>3.4692896885965881E-3</v>
      </c>
      <c r="N120" s="134">
        <f>SUM(L120:L124)</f>
        <v>25096.834325939999</v>
      </c>
      <c r="O120" s="71">
        <f>N120/$O$8</f>
        <v>1.4996442064173698E-2</v>
      </c>
      <c r="P120" s="97">
        <v>19</v>
      </c>
      <c r="Q120" s="50">
        <v>327.65000000000003</v>
      </c>
      <c r="R120" s="49">
        <v>6225.35</v>
      </c>
      <c r="S120" s="48">
        <v>7624.1861449999997</v>
      </c>
      <c r="T120" s="64">
        <v>0</v>
      </c>
      <c r="U120" s="66">
        <f>T120*K120</f>
        <v>0</v>
      </c>
      <c r="V120" s="100">
        <f>U120+U121+U122+U123+U124</f>
        <v>0</v>
      </c>
      <c r="W120" s="64">
        <f>T120</f>
        <v>0</v>
      </c>
      <c r="X120" s="66">
        <f>U120</f>
        <v>0</v>
      </c>
      <c r="Y120" s="100">
        <f>X120+X121+X122+X123+X124</f>
        <v>0</v>
      </c>
      <c r="Z120" s="64">
        <f>T120-W120</f>
        <v>0</v>
      </c>
      <c r="AA120" s="66">
        <f>L120-X120</f>
        <v>5805.9230429999989</v>
      </c>
      <c r="AB120" s="99">
        <f>AA120+AA121+AA122+AA123+AA124</f>
        <v>25096.834325939999</v>
      </c>
    </row>
    <row r="121" spans="1:28" ht="38.25">
      <c r="A121" s="98"/>
      <c r="B121" s="98"/>
      <c r="C121" s="60"/>
      <c r="D121" s="60"/>
      <c r="E121" s="58" t="s">
        <v>648</v>
      </c>
      <c r="F121" s="58">
        <v>94573</v>
      </c>
      <c r="G121" s="58" t="s">
        <v>26</v>
      </c>
      <c r="H121" s="59" t="s">
        <v>647</v>
      </c>
      <c r="I121" s="58" t="s">
        <v>45</v>
      </c>
      <c r="J121" s="57">
        <f>VLOOKUP(F121,'[1]Planilha Orçamentária'!B121:J498,5,FALSE)</f>
        <v>14.4</v>
      </c>
      <c r="K121" s="56">
        <f>VLOOKUP(F121,'[1]Planilha Orçamentária'!B122:J498,7,FALSE)*$K$1</f>
        <v>559.49194799999998</v>
      </c>
      <c r="L121" s="55">
        <f>K121*J121</f>
        <v>8056.6840511999999</v>
      </c>
      <c r="M121" s="54">
        <f>L121/$O$8</f>
        <v>4.8142165674772879E-3</v>
      </c>
      <c r="N121" s="131"/>
      <c r="O121" s="52"/>
      <c r="P121" s="97">
        <v>14.4</v>
      </c>
      <c r="Q121" s="50">
        <v>547.44000000000005</v>
      </c>
      <c r="R121" s="49">
        <v>7883.13</v>
      </c>
      <c r="S121" s="48">
        <v>9654.4693109999989</v>
      </c>
      <c r="T121" s="45">
        <v>0</v>
      </c>
      <c r="U121" s="47">
        <f>T121*K121</f>
        <v>0</v>
      </c>
      <c r="V121" s="83"/>
      <c r="W121" s="45">
        <f>T121</f>
        <v>0</v>
      </c>
      <c r="X121" s="47">
        <f>U121</f>
        <v>0</v>
      </c>
      <c r="Y121" s="83"/>
      <c r="Z121" s="45">
        <f>T121-W121</f>
        <v>0</v>
      </c>
      <c r="AA121" s="47">
        <f>L121-X121</f>
        <v>8056.6840511999999</v>
      </c>
      <c r="AB121" s="81"/>
    </row>
    <row r="122" spans="1:28" ht="38.25">
      <c r="A122" s="98"/>
      <c r="B122" s="98"/>
      <c r="C122" s="60"/>
      <c r="D122" s="60"/>
      <c r="E122" s="58" t="s">
        <v>646</v>
      </c>
      <c r="F122" s="58">
        <v>94570</v>
      </c>
      <c r="G122" s="58" t="s">
        <v>26</v>
      </c>
      <c r="H122" s="59" t="s">
        <v>645</v>
      </c>
      <c r="I122" s="58" t="s">
        <v>45</v>
      </c>
      <c r="J122" s="57">
        <f>VLOOKUP(F122,'[1]Planilha Orçamentária'!B122:J499,5,FALSE)</f>
        <v>7.2</v>
      </c>
      <c r="K122" s="56">
        <f>VLOOKUP(F122,'[1]Planilha Orçamentária'!B123:J499,7,FALSE)*$K$1</f>
        <v>500.78901524999998</v>
      </c>
      <c r="L122" s="55">
        <f>K122*J122</f>
        <v>3605.6809097999999</v>
      </c>
      <c r="M122" s="54">
        <f>L122/$O$8</f>
        <v>2.1545500186780043E-3</v>
      </c>
      <c r="N122" s="131"/>
      <c r="O122" s="52"/>
      <c r="P122" s="97">
        <v>7.2</v>
      </c>
      <c r="Q122" s="50">
        <v>490.56</v>
      </c>
      <c r="R122" s="49">
        <v>3532.03</v>
      </c>
      <c r="S122" s="48">
        <v>4325.6771410000001</v>
      </c>
      <c r="T122" s="82">
        <v>0</v>
      </c>
      <c r="U122" s="44">
        <f>T122*K122</f>
        <v>0</v>
      </c>
      <c r="V122" s="83"/>
      <c r="W122" s="82">
        <f>T122</f>
        <v>0</v>
      </c>
      <c r="X122" s="44">
        <f>U122</f>
        <v>0</v>
      </c>
      <c r="Y122" s="83"/>
      <c r="Z122" s="82">
        <f>T122-W122</f>
        <v>0</v>
      </c>
      <c r="AA122" s="47">
        <f>L122-X122</f>
        <v>3605.6809097999999</v>
      </c>
      <c r="AB122" s="81"/>
    </row>
    <row r="123" spans="1:28" ht="25.5">
      <c r="A123" s="98"/>
      <c r="B123" s="98"/>
      <c r="C123" s="60"/>
      <c r="D123" s="60"/>
      <c r="E123" s="58" t="s">
        <v>644</v>
      </c>
      <c r="F123" s="58" t="s">
        <v>643</v>
      </c>
      <c r="G123" s="58" t="s">
        <v>33</v>
      </c>
      <c r="H123" s="59" t="s">
        <v>642</v>
      </c>
      <c r="I123" s="58" t="s">
        <v>45</v>
      </c>
      <c r="J123" s="57">
        <f>VLOOKUP(F123,'[1]Planilha Orçamentária'!B123:J500,5,FALSE)</f>
        <v>5.84</v>
      </c>
      <c r="K123" s="56">
        <f>VLOOKUP(F123,'[1]Planilha Orçamentária'!B124:J500,7,FALSE)*$K$1</f>
        <v>943.63747349999983</v>
      </c>
      <c r="L123" s="55">
        <f>K123*J123</f>
        <v>5510.8428452399985</v>
      </c>
      <c r="M123" s="54">
        <f>L123/$O$8</f>
        <v>3.2929665303638809E-3</v>
      </c>
      <c r="N123" s="131"/>
      <c r="O123" s="52"/>
      <c r="P123" s="97">
        <v>5.84</v>
      </c>
      <c r="Q123" s="50">
        <v>981.3</v>
      </c>
      <c r="R123" s="49">
        <v>5730.79</v>
      </c>
      <c r="S123" s="48">
        <v>7018.4985129999995</v>
      </c>
      <c r="T123" s="82">
        <v>0</v>
      </c>
      <c r="U123" s="44">
        <f>T123*K123</f>
        <v>0</v>
      </c>
      <c r="V123" s="83"/>
      <c r="W123" s="82">
        <f>T123</f>
        <v>0</v>
      </c>
      <c r="X123" s="44">
        <f>U123</f>
        <v>0</v>
      </c>
      <c r="Y123" s="83"/>
      <c r="Z123" s="82">
        <f>T123-W123</f>
        <v>0</v>
      </c>
      <c r="AA123" s="47">
        <f>L123-X123</f>
        <v>5510.8428452399985</v>
      </c>
      <c r="AB123" s="81"/>
    </row>
    <row r="124" spans="1:28" ht="15" thickBot="1">
      <c r="A124" s="104"/>
      <c r="B124" s="104"/>
      <c r="C124" s="41"/>
      <c r="D124" s="41"/>
      <c r="E124" s="39" t="s">
        <v>641</v>
      </c>
      <c r="F124" s="39">
        <v>94590</v>
      </c>
      <c r="G124" s="39" t="s">
        <v>26</v>
      </c>
      <c r="H124" s="40" t="s">
        <v>640</v>
      </c>
      <c r="I124" s="39" t="s">
        <v>88</v>
      </c>
      <c r="J124" s="38">
        <f>VLOOKUP(F124,'[1]Planilha Orçamentária'!B124:J501,5,FALSE)</f>
        <v>58.8</v>
      </c>
      <c r="K124" s="37">
        <f>VLOOKUP(F124,'[1]Planilha Orçamentária'!B125:J501,7,FALSE)*$K$1</f>
        <v>36.015365249999995</v>
      </c>
      <c r="L124" s="36">
        <f>K124*J124</f>
        <v>2117.7034766999996</v>
      </c>
      <c r="M124" s="35">
        <f>L124/$O$8</f>
        <v>1.2654192590579357E-3</v>
      </c>
      <c r="N124" s="128"/>
      <c r="O124" s="33"/>
      <c r="P124" s="97">
        <v>58.8</v>
      </c>
      <c r="Q124" s="50">
        <v>37.49</v>
      </c>
      <c r="R124" s="49">
        <v>2204.41</v>
      </c>
      <c r="S124" s="48">
        <v>2699.7409269999994</v>
      </c>
      <c r="T124" s="27">
        <v>0</v>
      </c>
      <c r="U124" s="26">
        <f>T124*K124</f>
        <v>0</v>
      </c>
      <c r="V124" s="103"/>
      <c r="W124" s="27">
        <f>T124</f>
        <v>0</v>
      </c>
      <c r="X124" s="26">
        <f>U124</f>
        <v>0</v>
      </c>
      <c r="Y124" s="103"/>
      <c r="Z124" s="27">
        <f>T124-W124</f>
        <v>0</v>
      </c>
      <c r="AA124" s="26">
        <f>L124-X124</f>
        <v>2117.7034766999996</v>
      </c>
      <c r="AB124" s="102"/>
    </row>
    <row r="125" spans="1:28" ht="12.75" customHeight="1">
      <c r="A125" s="80" t="s">
        <v>639</v>
      </c>
      <c r="B125" s="80">
        <v>11</v>
      </c>
      <c r="C125" s="79" t="s">
        <v>638</v>
      </c>
      <c r="D125" s="79" t="s">
        <v>637</v>
      </c>
      <c r="E125" s="77" t="s">
        <v>636</v>
      </c>
      <c r="F125" s="77">
        <v>100701</v>
      </c>
      <c r="G125" s="77" t="s">
        <v>26</v>
      </c>
      <c r="H125" s="78" t="s">
        <v>635</v>
      </c>
      <c r="I125" s="77" t="s">
        <v>45</v>
      </c>
      <c r="J125" s="76">
        <f>VLOOKUP(F125,'[1]Planilha Orçamentária'!B125:J502,5,FALSE)</f>
        <v>7.56</v>
      </c>
      <c r="K125" s="75">
        <f>VLOOKUP(F125,'[1]Planilha Orçamentária'!B126:J502,7,FALSE)*$K$1</f>
        <v>680.14939199999992</v>
      </c>
      <c r="L125" s="74">
        <f>K125*J125</f>
        <v>5141.9294035199991</v>
      </c>
      <c r="M125" s="73">
        <f>L125/$O$8</f>
        <v>3.072524821118877E-3</v>
      </c>
      <c r="N125" s="134">
        <f>SUM(L125:L130)</f>
        <v>30519.322598085</v>
      </c>
      <c r="O125" s="71">
        <f>N125/$O$8</f>
        <v>1.8236612922409544E-2</v>
      </c>
      <c r="P125" s="51">
        <v>7.56</v>
      </c>
      <c r="Q125" s="50">
        <v>704.55</v>
      </c>
      <c r="R125" s="49">
        <v>5326.39</v>
      </c>
      <c r="S125" s="48">
        <v>6523.2298329999994</v>
      </c>
      <c r="T125" s="64">
        <v>0</v>
      </c>
      <c r="U125" s="66">
        <f>T125*K125</f>
        <v>0</v>
      </c>
      <c r="V125" s="100">
        <f>U125+U126+U127+U128+U129+U130</f>
        <v>0</v>
      </c>
      <c r="W125" s="64">
        <f>T125</f>
        <v>0</v>
      </c>
      <c r="X125" s="66">
        <f>U125</f>
        <v>0</v>
      </c>
      <c r="Y125" s="100">
        <f>X125+X126+X127+X128+X129+X130</f>
        <v>0</v>
      </c>
      <c r="Z125" s="64">
        <f>T125-W125</f>
        <v>0</v>
      </c>
      <c r="AA125" s="66">
        <f>L125-X125</f>
        <v>5141.9294035199991</v>
      </c>
      <c r="AB125" s="99">
        <f>AA125+AA126+AA127+AA128+AA129+AA130</f>
        <v>30519.322598085</v>
      </c>
    </row>
    <row r="126" spans="1:28" ht="38.25">
      <c r="A126" s="61"/>
      <c r="B126" s="61"/>
      <c r="C126" s="60"/>
      <c r="D126" s="60"/>
      <c r="E126" s="58" t="s">
        <v>634</v>
      </c>
      <c r="F126" s="58" t="s">
        <v>633</v>
      </c>
      <c r="G126" s="58" t="s">
        <v>33</v>
      </c>
      <c r="H126" s="59" t="s">
        <v>632</v>
      </c>
      <c r="I126" s="58" t="s">
        <v>88</v>
      </c>
      <c r="J126" s="57">
        <f>VLOOKUP(F126,'[1]Planilha Orçamentária'!B126:J503,5,FALSE)</f>
        <v>11.01</v>
      </c>
      <c r="K126" s="56">
        <f>VLOOKUP(F126,'[1]Planilha Orçamentária'!B127:J503,7,FALSE)*$K$1</f>
        <v>461.33836649999995</v>
      </c>
      <c r="L126" s="55">
        <f>K126*J126</f>
        <v>5079.3354151649992</v>
      </c>
      <c r="M126" s="54">
        <f>L126/$O$8</f>
        <v>3.035122210584803E-3</v>
      </c>
      <c r="N126" s="131"/>
      <c r="O126" s="52"/>
      <c r="P126" s="51">
        <v>11.01</v>
      </c>
      <c r="Q126" s="50">
        <v>502.26</v>
      </c>
      <c r="R126" s="49">
        <v>5529.88</v>
      </c>
      <c r="S126" s="48">
        <v>6772.4440359999999</v>
      </c>
      <c r="T126" s="45">
        <v>0</v>
      </c>
      <c r="U126" s="47">
        <f>T126*K126</f>
        <v>0</v>
      </c>
      <c r="V126" s="83"/>
      <c r="W126" s="45">
        <f>T126</f>
        <v>0</v>
      </c>
      <c r="X126" s="47">
        <f>U126</f>
        <v>0</v>
      </c>
      <c r="Y126" s="83"/>
      <c r="Z126" s="45">
        <f>T126-W126</f>
        <v>0</v>
      </c>
      <c r="AA126" s="47">
        <f>L126-X126</f>
        <v>5079.3354151649992</v>
      </c>
      <c r="AB126" s="81"/>
    </row>
    <row r="127" spans="1:28" ht="25.5">
      <c r="A127" s="61"/>
      <c r="B127" s="61"/>
      <c r="C127" s="60"/>
      <c r="D127" s="60"/>
      <c r="E127" s="58" t="s">
        <v>631</v>
      </c>
      <c r="F127" s="58">
        <v>99861</v>
      </c>
      <c r="G127" s="58" t="s">
        <v>26</v>
      </c>
      <c r="H127" s="59" t="s">
        <v>630</v>
      </c>
      <c r="I127" s="58" t="s">
        <v>45</v>
      </c>
      <c r="J127" s="57">
        <f>VLOOKUP(F127,'[1]Planilha Orçamentária'!B127:J504,5,FALSE)</f>
        <v>22.4</v>
      </c>
      <c r="K127" s="56">
        <f>VLOOKUP(F127,'[1]Planilha Orçamentária'!B128:J504,7,FALSE)*$K$1</f>
        <v>739.26566099999991</v>
      </c>
      <c r="L127" s="55">
        <f>K127*J127</f>
        <v>16559.550806399999</v>
      </c>
      <c r="M127" s="54">
        <f>L127/$O$8</f>
        <v>9.8950465645079762E-3</v>
      </c>
      <c r="N127" s="131"/>
      <c r="O127" s="52"/>
      <c r="P127" s="51">
        <v>22.4</v>
      </c>
      <c r="Q127" s="50">
        <v>770.23</v>
      </c>
      <c r="R127" s="49">
        <v>17253.150000000001</v>
      </c>
      <c r="S127" s="48">
        <v>21129.932805</v>
      </c>
      <c r="T127" s="82">
        <v>0</v>
      </c>
      <c r="U127" s="44">
        <f>T127*K127</f>
        <v>0</v>
      </c>
      <c r="V127" s="83"/>
      <c r="W127" s="82">
        <f>T127</f>
        <v>0</v>
      </c>
      <c r="X127" s="44">
        <f>U127</f>
        <v>0</v>
      </c>
      <c r="Y127" s="83"/>
      <c r="Z127" s="82">
        <f>T127-W127</f>
        <v>0</v>
      </c>
      <c r="AA127" s="47">
        <f>L127-X127</f>
        <v>16559.550806399999</v>
      </c>
      <c r="AB127" s="81"/>
    </row>
    <row r="128" spans="1:28" ht="25.5">
      <c r="A128" s="61"/>
      <c r="B128" s="61"/>
      <c r="C128" s="60"/>
      <c r="D128" s="60"/>
      <c r="E128" s="58" t="s">
        <v>629</v>
      </c>
      <c r="F128" s="58">
        <v>11484</v>
      </c>
      <c r="G128" s="92" t="s">
        <v>26</v>
      </c>
      <c r="H128" s="59" t="s">
        <v>628</v>
      </c>
      <c r="I128" s="58" t="s">
        <v>24</v>
      </c>
      <c r="J128" s="57">
        <f>VLOOKUP(F128,'[1]Planilha Orçamentária'!B128:J505,5,FALSE)</f>
        <v>2</v>
      </c>
      <c r="K128" s="56">
        <f>VLOOKUP(F128,'[1]Planilha Orçamentária'!B129:J505,7,FALSE)*$K$1</f>
        <v>64.076304000000007</v>
      </c>
      <c r="L128" s="55">
        <f>K128*J128</f>
        <v>128.15260800000001</v>
      </c>
      <c r="M128" s="54">
        <f>L128/$O$8</f>
        <v>7.6576716261714456E-5</v>
      </c>
      <c r="N128" s="131"/>
      <c r="O128" s="52"/>
      <c r="P128" s="51">
        <v>2</v>
      </c>
      <c r="Q128" s="50">
        <v>66.77</v>
      </c>
      <c r="R128" s="49">
        <v>133.54</v>
      </c>
      <c r="S128" s="48">
        <v>163.54643799999997</v>
      </c>
      <c r="T128" s="82">
        <v>0</v>
      </c>
      <c r="U128" s="44">
        <f>T128*K128</f>
        <v>0</v>
      </c>
      <c r="V128" s="83"/>
      <c r="W128" s="82">
        <f>T128</f>
        <v>0</v>
      </c>
      <c r="X128" s="44">
        <f>U128</f>
        <v>0</v>
      </c>
      <c r="Y128" s="83"/>
      <c r="Z128" s="82">
        <f>T128-W128</f>
        <v>0</v>
      </c>
      <c r="AA128" s="47">
        <f>L128-X128</f>
        <v>128.15260800000001</v>
      </c>
      <c r="AB128" s="81"/>
    </row>
    <row r="129" spans="1:28" ht="38.25">
      <c r="A129" s="61"/>
      <c r="B129" s="61"/>
      <c r="C129" s="60"/>
      <c r="D129" s="60"/>
      <c r="E129" s="58" t="s">
        <v>627</v>
      </c>
      <c r="F129" s="58" t="s">
        <v>626</v>
      </c>
      <c r="G129" s="58" t="s">
        <v>33</v>
      </c>
      <c r="H129" s="59" t="s">
        <v>625</v>
      </c>
      <c r="I129" s="58" t="s">
        <v>88</v>
      </c>
      <c r="J129" s="57">
        <f>VLOOKUP(F129,'[1]Planilha Orçamentária'!B129:J506,5,FALSE)</f>
        <v>5</v>
      </c>
      <c r="K129" s="56">
        <f>VLOOKUP(F129,'[1]Planilha Orçamentária'!B130:J506,7,FALSE)*$K$1</f>
        <v>514.87918874999991</v>
      </c>
      <c r="L129" s="55">
        <f>K129*J129</f>
        <v>2574.3959437499998</v>
      </c>
      <c r="M129" s="54">
        <f>L129/$O$8</f>
        <v>1.5383127257921456E-3</v>
      </c>
      <c r="N129" s="131"/>
      <c r="O129" s="52"/>
      <c r="P129" s="51">
        <v>5</v>
      </c>
      <c r="Q129" s="50">
        <v>560.54999999999995</v>
      </c>
      <c r="R129" s="49">
        <v>2802.75</v>
      </c>
      <c r="S129" s="48">
        <v>3432.5279249999999</v>
      </c>
      <c r="T129" s="82">
        <v>0</v>
      </c>
      <c r="U129" s="44">
        <f>T129*K129</f>
        <v>0</v>
      </c>
      <c r="V129" s="83"/>
      <c r="W129" s="82">
        <f>T129</f>
        <v>0</v>
      </c>
      <c r="X129" s="44">
        <f>U129</f>
        <v>0</v>
      </c>
      <c r="Y129" s="83"/>
      <c r="Z129" s="82">
        <f>T129-W129</f>
        <v>0</v>
      </c>
      <c r="AA129" s="47">
        <f>L129-X129</f>
        <v>2574.3959437499998</v>
      </c>
      <c r="AB129" s="81"/>
    </row>
    <row r="130" spans="1:28" ht="26.25" thickBot="1">
      <c r="A130" s="42"/>
      <c r="B130" s="42"/>
      <c r="C130" s="41"/>
      <c r="D130" s="41"/>
      <c r="E130" s="39" t="s">
        <v>624</v>
      </c>
      <c r="F130" s="39" t="s">
        <v>623</v>
      </c>
      <c r="G130" s="39" t="s">
        <v>52</v>
      </c>
      <c r="H130" s="40" t="s">
        <v>622</v>
      </c>
      <c r="I130" s="39" t="s">
        <v>24</v>
      </c>
      <c r="J130" s="38">
        <f>VLOOKUP(F130,'[1]Planilha Orçamentária'!B130:J507,5,FALSE)</f>
        <v>3</v>
      </c>
      <c r="K130" s="37">
        <f>VLOOKUP(F130,'[1]Planilha Orçamentária'!B131:J507,7,FALSE)*$K$1</f>
        <v>345.31947374999993</v>
      </c>
      <c r="L130" s="36">
        <f>K130*J130</f>
        <v>1035.9584212499999</v>
      </c>
      <c r="M130" s="35">
        <f>L130/$O$8</f>
        <v>6.1902988414402687E-4</v>
      </c>
      <c r="N130" s="128"/>
      <c r="O130" s="33"/>
      <c r="P130" s="51">
        <v>3</v>
      </c>
      <c r="Q130" s="50">
        <v>367.71</v>
      </c>
      <c r="R130" s="49">
        <v>1103.1300000000001</v>
      </c>
      <c r="S130" s="48">
        <v>1351.0033109999999</v>
      </c>
      <c r="T130" s="27">
        <v>0</v>
      </c>
      <c r="U130" s="26">
        <f>T130*K130</f>
        <v>0</v>
      </c>
      <c r="V130" s="103"/>
      <c r="W130" s="27">
        <f>T130</f>
        <v>0</v>
      </c>
      <c r="X130" s="26">
        <f>U130</f>
        <v>0</v>
      </c>
      <c r="Y130" s="103"/>
      <c r="Z130" s="27">
        <f>T130-W130</f>
        <v>0</v>
      </c>
      <c r="AA130" s="26">
        <f>L130-X130</f>
        <v>1035.9584212499999</v>
      </c>
      <c r="AB130" s="102"/>
    </row>
    <row r="131" spans="1:28" ht="25.5" customHeight="1">
      <c r="A131" s="80" t="s">
        <v>621</v>
      </c>
      <c r="B131" s="80">
        <v>10</v>
      </c>
      <c r="C131" s="79" t="s">
        <v>620</v>
      </c>
      <c r="D131" s="79" t="s">
        <v>619</v>
      </c>
      <c r="E131" s="77" t="s">
        <v>618</v>
      </c>
      <c r="F131" s="77" t="s">
        <v>617</v>
      </c>
      <c r="G131" s="77" t="s">
        <v>33</v>
      </c>
      <c r="H131" s="78" t="s">
        <v>616</v>
      </c>
      <c r="I131" s="77" t="s">
        <v>45</v>
      </c>
      <c r="J131" s="76">
        <f>VLOOKUP(F131,'[1]Planilha Orçamentária'!B131:J508,5,FALSE)</f>
        <v>10.050000000000001</v>
      </c>
      <c r="K131" s="75">
        <f>VLOOKUP(F131,'[1]Planilha Orçamentária'!B132:J508,7,FALSE)*$K$1</f>
        <v>520.34441249999998</v>
      </c>
      <c r="L131" s="74">
        <f>K131*J131</f>
        <v>5229.4613456249999</v>
      </c>
      <c r="M131" s="73">
        <f>L131/$O$8</f>
        <v>3.1248289357133415E-3</v>
      </c>
      <c r="N131" s="134">
        <f>SUM(L131:L136)</f>
        <v>46178.901507254996</v>
      </c>
      <c r="O131" s="71">
        <f>N131/$O$8</f>
        <v>2.7593887422086044E-2</v>
      </c>
      <c r="P131" s="51">
        <v>10.050000000000001</v>
      </c>
      <c r="Q131" s="50">
        <v>643.75</v>
      </c>
      <c r="R131" s="49">
        <v>6469.68</v>
      </c>
      <c r="S131" s="48">
        <v>7923.4170960000001</v>
      </c>
      <c r="T131" s="64">
        <v>0</v>
      </c>
      <c r="U131" s="66">
        <f>T131*K131</f>
        <v>0</v>
      </c>
      <c r="V131" s="100">
        <f>U131+U132+U133+U134+U135+U136</f>
        <v>0</v>
      </c>
      <c r="W131" s="64">
        <f>T131</f>
        <v>0</v>
      </c>
      <c r="X131" s="66">
        <f>U131</f>
        <v>0</v>
      </c>
      <c r="Y131" s="100">
        <f>X131+X132+X133+X134+X135+X136</f>
        <v>0</v>
      </c>
      <c r="Z131" s="64">
        <f>T131-W131</f>
        <v>0</v>
      </c>
      <c r="AA131" s="66">
        <f>L131-X131</f>
        <v>5229.4613456249999</v>
      </c>
      <c r="AB131" s="99">
        <f>AA131+AA132+AA133+AA134+AA135+AA136</f>
        <v>46178.901507254996</v>
      </c>
    </row>
    <row r="132" spans="1:28">
      <c r="A132" s="61"/>
      <c r="B132" s="61"/>
      <c r="C132" s="60"/>
      <c r="D132" s="60"/>
      <c r="E132" s="58" t="s">
        <v>615</v>
      </c>
      <c r="F132" s="58" t="s">
        <v>614</v>
      </c>
      <c r="G132" s="58" t="s">
        <v>33</v>
      </c>
      <c r="H132" s="59" t="s">
        <v>613</v>
      </c>
      <c r="I132" s="58" t="s">
        <v>45</v>
      </c>
      <c r="J132" s="57">
        <f>VLOOKUP(F132,'[1]Planilha Orçamentária'!B132:J509,5,FALSE)</f>
        <v>36.590000000000003</v>
      </c>
      <c r="K132" s="56">
        <f>VLOOKUP(F132,'[1]Planilha Orçamentária'!B133:J509,7,FALSE)*$K$1</f>
        <v>592.11795599999994</v>
      </c>
      <c r="L132" s="55">
        <f>K132*J132</f>
        <v>21665.596010040001</v>
      </c>
      <c r="M132" s="54">
        <f>L132/$O$8</f>
        <v>1.2946129026900222E-2</v>
      </c>
      <c r="N132" s="131"/>
      <c r="O132" s="52"/>
      <c r="P132" s="51">
        <v>36.590000000000003</v>
      </c>
      <c r="Q132" s="50">
        <v>644.64</v>
      </c>
      <c r="R132" s="49">
        <v>23587.37</v>
      </c>
      <c r="S132" s="48">
        <v>28887.452038999996</v>
      </c>
      <c r="T132" s="45">
        <v>0</v>
      </c>
      <c r="U132" s="47">
        <f>T132*K132</f>
        <v>0</v>
      </c>
      <c r="V132" s="83"/>
      <c r="W132" s="45">
        <f>T132</f>
        <v>0</v>
      </c>
      <c r="X132" s="47">
        <f>U132</f>
        <v>0</v>
      </c>
      <c r="Y132" s="83"/>
      <c r="Z132" s="45">
        <f>T132-W132</f>
        <v>0</v>
      </c>
      <c r="AA132" s="47">
        <f>L132-X132</f>
        <v>21665.596010040001</v>
      </c>
      <c r="AB132" s="81"/>
    </row>
    <row r="133" spans="1:28" ht="38.25">
      <c r="A133" s="61"/>
      <c r="B133" s="61"/>
      <c r="C133" s="60"/>
      <c r="D133" s="60"/>
      <c r="E133" s="58" t="s">
        <v>612</v>
      </c>
      <c r="F133" s="58" t="s">
        <v>611</v>
      </c>
      <c r="G133" s="58" t="s">
        <v>33</v>
      </c>
      <c r="H133" s="59" t="s">
        <v>610</v>
      </c>
      <c r="I133" s="58" t="s">
        <v>24</v>
      </c>
      <c r="J133" s="57">
        <f>VLOOKUP(F133,'[1]Planilha Orçamentária'!B133:J510,5,FALSE)</f>
        <v>3</v>
      </c>
      <c r="K133" s="56">
        <f>VLOOKUP(F133,'[1]Planilha Orçamentária'!B134:J510,7,FALSE)*$K$1</f>
        <v>165.33449999999999</v>
      </c>
      <c r="L133" s="55">
        <f>K133*J133</f>
        <v>496.00349999999997</v>
      </c>
      <c r="M133" s="54">
        <f>L133/$O$8</f>
        <v>2.9638350617349342E-4</v>
      </c>
      <c r="N133" s="131"/>
      <c r="O133" s="52"/>
      <c r="P133" s="51">
        <v>60</v>
      </c>
      <c r="Q133" s="50">
        <v>177.98</v>
      </c>
      <c r="R133" s="49">
        <v>10678.8</v>
      </c>
      <c r="S133" s="48">
        <v>13078.326359999997</v>
      </c>
      <c r="T133" s="82">
        <v>0</v>
      </c>
      <c r="U133" s="44">
        <f>T133*K133</f>
        <v>0</v>
      </c>
      <c r="V133" s="83"/>
      <c r="W133" s="82">
        <f>T133</f>
        <v>0</v>
      </c>
      <c r="X133" s="44">
        <f>U133</f>
        <v>0</v>
      </c>
      <c r="Y133" s="83"/>
      <c r="Z133" s="82">
        <f>T133-W133</f>
        <v>0</v>
      </c>
      <c r="AA133" s="47">
        <f>L133-X133</f>
        <v>496.00349999999997</v>
      </c>
      <c r="AB133" s="81"/>
    </row>
    <row r="134" spans="1:28" ht="25.5">
      <c r="A134" s="61"/>
      <c r="B134" s="61"/>
      <c r="C134" s="60"/>
      <c r="D134" s="60"/>
      <c r="E134" s="58" t="s">
        <v>609</v>
      </c>
      <c r="F134" s="58" t="s">
        <v>608</v>
      </c>
      <c r="G134" s="58" t="s">
        <v>33</v>
      </c>
      <c r="H134" s="59" t="s">
        <v>607</v>
      </c>
      <c r="I134" s="58" t="s">
        <v>45</v>
      </c>
      <c r="J134" s="57">
        <f>VLOOKUP(F134,'[1]Planilha Orçamentária'!B134:J511,5,FALSE)</f>
        <v>36.729999999999997</v>
      </c>
      <c r="K134" s="56">
        <f>VLOOKUP(F134,'[1]Planilha Orçamentária'!B135:J511,7,FALSE)*$K$1</f>
        <v>392.82558674999996</v>
      </c>
      <c r="L134" s="55">
        <f>K134*J134</f>
        <v>14428.483801327497</v>
      </c>
      <c r="M134" s="54">
        <f>L134/$O$8</f>
        <v>8.6216420202778771E-3</v>
      </c>
      <c r="N134" s="131"/>
      <c r="O134" s="52"/>
      <c r="P134" s="51">
        <v>36.729999999999997</v>
      </c>
      <c r="Q134" s="50">
        <v>412.39</v>
      </c>
      <c r="R134" s="49">
        <v>15147.08</v>
      </c>
      <c r="S134" s="48">
        <v>18550.628875999999</v>
      </c>
      <c r="T134" s="82">
        <v>0</v>
      </c>
      <c r="U134" s="44">
        <f>T134*K134</f>
        <v>0</v>
      </c>
      <c r="V134" s="83"/>
      <c r="W134" s="82">
        <f>T134</f>
        <v>0</v>
      </c>
      <c r="X134" s="44">
        <f>U134</f>
        <v>0</v>
      </c>
      <c r="Y134" s="83"/>
      <c r="Z134" s="82">
        <f>T134-W134</f>
        <v>0</v>
      </c>
      <c r="AA134" s="47">
        <f>L134-X134</f>
        <v>14428.483801327497</v>
      </c>
      <c r="AB134" s="81"/>
    </row>
    <row r="135" spans="1:28">
      <c r="A135" s="61"/>
      <c r="B135" s="61"/>
      <c r="C135" s="60"/>
      <c r="D135" s="60"/>
      <c r="E135" s="58" t="s">
        <v>606</v>
      </c>
      <c r="F135" s="58" t="s">
        <v>605</v>
      </c>
      <c r="G135" s="58" t="s">
        <v>33</v>
      </c>
      <c r="H135" s="59" t="s">
        <v>604</v>
      </c>
      <c r="I135" s="58" t="s">
        <v>45</v>
      </c>
      <c r="J135" s="57">
        <f>VLOOKUP(F135,'[1]Planilha Orçamentária'!B135:J512,5,FALSE)</f>
        <v>61.09</v>
      </c>
      <c r="K135" s="56">
        <f>VLOOKUP(F135,'[1]Planilha Orçamentária'!B136:J512,7,FALSE)*$K$1</f>
        <v>17.865311249999998</v>
      </c>
      <c r="L135" s="55">
        <f>K135*J135</f>
        <v>1091.3918642624999</v>
      </c>
      <c r="M135" s="54">
        <f>L135/$O$8</f>
        <v>6.5215375967981096E-4</v>
      </c>
      <c r="N135" s="131"/>
      <c r="O135" s="52"/>
      <c r="P135" s="51">
        <v>61.09</v>
      </c>
      <c r="Q135" s="50">
        <v>21.77</v>
      </c>
      <c r="R135" s="49">
        <v>1329.92</v>
      </c>
      <c r="S135" s="48">
        <v>1628.7530239999999</v>
      </c>
      <c r="T135" s="82">
        <v>0</v>
      </c>
      <c r="U135" s="44">
        <f>T135*K135</f>
        <v>0</v>
      </c>
      <c r="V135" s="83"/>
      <c r="W135" s="82">
        <f>T135</f>
        <v>0</v>
      </c>
      <c r="X135" s="44">
        <f>U135</f>
        <v>0</v>
      </c>
      <c r="Y135" s="83"/>
      <c r="Z135" s="82">
        <f>T135-W135</f>
        <v>0</v>
      </c>
      <c r="AA135" s="47">
        <f>L135-X135</f>
        <v>1091.3918642624999</v>
      </c>
      <c r="AB135" s="81"/>
    </row>
    <row r="136" spans="1:28" ht="15" thickBot="1">
      <c r="A136" s="42"/>
      <c r="B136" s="42"/>
      <c r="C136" s="41"/>
      <c r="D136" s="41"/>
      <c r="E136" s="176" t="s">
        <v>603</v>
      </c>
      <c r="F136" s="39" t="s">
        <v>602</v>
      </c>
      <c r="G136" s="39" t="s">
        <v>33</v>
      </c>
      <c r="H136" s="40" t="s">
        <v>601</v>
      </c>
      <c r="I136" s="39" t="s">
        <v>319</v>
      </c>
      <c r="J136" s="38">
        <f>VLOOKUP(F136,'[1]Planilha Orçamentária'!B136:J513,5,FALSE)</f>
        <v>323.44</v>
      </c>
      <c r="K136" s="37">
        <f>VLOOKUP(F136,'[1]Planilha Orçamentária'!B137:J513,7,FALSE)*$K$1</f>
        <v>10.103774999999999</v>
      </c>
      <c r="L136" s="36">
        <f>K136*J136</f>
        <v>3267.9649859999995</v>
      </c>
      <c r="M136" s="35">
        <f>L136/$O$8</f>
        <v>1.9527501733412993E-3</v>
      </c>
      <c r="N136" s="128"/>
      <c r="O136" s="33"/>
      <c r="P136" s="51">
        <v>323.44</v>
      </c>
      <c r="Q136" s="50">
        <v>11</v>
      </c>
      <c r="R136" s="49">
        <v>3557.84</v>
      </c>
      <c r="S136" s="48">
        <v>4357.2866480000002</v>
      </c>
      <c r="T136" s="27">
        <v>0</v>
      </c>
      <c r="U136" s="26">
        <f>T136*K136</f>
        <v>0</v>
      </c>
      <c r="V136" s="103"/>
      <c r="W136" s="27">
        <f>T136</f>
        <v>0</v>
      </c>
      <c r="X136" s="26">
        <f>U136</f>
        <v>0</v>
      </c>
      <c r="Y136" s="103"/>
      <c r="Z136" s="27">
        <f>T136-W136</f>
        <v>0</v>
      </c>
      <c r="AA136" s="26">
        <f>L136-X136</f>
        <v>3267.9649859999995</v>
      </c>
      <c r="AB136" s="102"/>
    </row>
    <row r="137" spans="1:28">
      <c r="A137" s="136" t="s">
        <v>600</v>
      </c>
      <c r="B137" s="136">
        <v>10</v>
      </c>
      <c r="C137" s="162" t="s">
        <v>599</v>
      </c>
      <c r="D137" s="162" t="s">
        <v>598</v>
      </c>
      <c r="E137" s="77" t="s">
        <v>597</v>
      </c>
      <c r="F137" s="77" t="s">
        <v>596</v>
      </c>
      <c r="G137" s="77" t="s">
        <v>33</v>
      </c>
      <c r="H137" s="78" t="s">
        <v>595</v>
      </c>
      <c r="I137" s="77" t="s">
        <v>24</v>
      </c>
      <c r="J137" s="76">
        <f>VLOOKUP(F137,'[1]Planilha Orçamentária'!B137:J514,5,FALSE)</f>
        <v>2</v>
      </c>
      <c r="K137" s="75">
        <f>VLOOKUP(F137,'[1]Planilha Orçamentária'!B138:J514,7,FALSE)*$K$1</f>
        <v>22.614085499999998</v>
      </c>
      <c r="L137" s="74">
        <f>K137*J137</f>
        <v>45.228170999999996</v>
      </c>
      <c r="M137" s="73">
        <f>L137/$O$8</f>
        <v>2.7025784896264472E-5</v>
      </c>
      <c r="N137" s="143">
        <f>SUM(L137:L139)</f>
        <v>23106.883347750001</v>
      </c>
      <c r="O137" s="111">
        <f>N137/$O$8</f>
        <v>1.3807360438682498E-2</v>
      </c>
      <c r="P137" s="51">
        <v>2</v>
      </c>
      <c r="Q137" s="50">
        <v>24.3</v>
      </c>
      <c r="R137" s="49">
        <v>48.6</v>
      </c>
      <c r="S137" s="48">
        <v>59.520419999999994</v>
      </c>
      <c r="T137" s="64">
        <v>0</v>
      </c>
      <c r="U137" s="66">
        <f>T137*K137</f>
        <v>0</v>
      </c>
      <c r="V137" s="125">
        <f>U137+U138+U139</f>
        <v>0</v>
      </c>
      <c r="W137" s="64">
        <f>T137</f>
        <v>0</v>
      </c>
      <c r="X137" s="66">
        <f>U137</f>
        <v>0</v>
      </c>
      <c r="Y137" s="125">
        <f>X137+X138+X139</f>
        <v>0</v>
      </c>
      <c r="Z137" s="64">
        <f>T137-W137</f>
        <v>0</v>
      </c>
      <c r="AA137" s="66">
        <f>L137-X137</f>
        <v>45.228170999999996</v>
      </c>
      <c r="AB137" s="125">
        <f>AA137+AA138+AA139</f>
        <v>23106.883347750001</v>
      </c>
    </row>
    <row r="138" spans="1:28" ht="38.25">
      <c r="A138" s="133"/>
      <c r="B138" s="133"/>
      <c r="C138" s="153"/>
      <c r="D138" s="153"/>
      <c r="E138" s="58" t="s">
        <v>594</v>
      </c>
      <c r="F138" s="58" t="s">
        <v>593</v>
      </c>
      <c r="G138" s="58" t="s">
        <v>52</v>
      </c>
      <c r="H138" s="59" t="s">
        <v>592</v>
      </c>
      <c r="I138" s="58" t="s">
        <v>24</v>
      </c>
      <c r="J138" s="57">
        <f>VLOOKUP(F138,'[1]Planilha Orçamentária'!B138:J515,5,FALSE)</f>
        <v>1</v>
      </c>
      <c r="K138" s="56">
        <f>VLOOKUP(F138,'[1]Planilha Orçamentária'!B139:J515,7,FALSE)*$K$1</f>
        <v>20751.601542750002</v>
      </c>
      <c r="L138" s="55">
        <f>K138*J138</f>
        <v>20751.601542750002</v>
      </c>
      <c r="M138" s="54">
        <f>L138/$O$8</f>
        <v>1.2399977871034218E-2</v>
      </c>
      <c r="N138" s="142"/>
      <c r="O138" s="141"/>
      <c r="P138" s="51">
        <v>1</v>
      </c>
      <c r="Q138" s="50">
        <v>22379.17</v>
      </c>
      <c r="R138" s="49">
        <v>22379.17</v>
      </c>
      <c r="S138" s="48">
        <v>27407.769498999995</v>
      </c>
      <c r="T138" s="45">
        <v>0</v>
      </c>
      <c r="U138" s="47">
        <f>T138*K138</f>
        <v>0</v>
      </c>
      <c r="V138" s="123"/>
      <c r="W138" s="45">
        <f>T138</f>
        <v>0</v>
      </c>
      <c r="X138" s="47">
        <f>U138</f>
        <v>0</v>
      </c>
      <c r="Y138" s="123"/>
      <c r="Z138" s="45">
        <f>T138-W138</f>
        <v>0</v>
      </c>
      <c r="AA138" s="47">
        <f>L138-X138</f>
        <v>20751.601542750002</v>
      </c>
      <c r="AB138" s="123"/>
    </row>
    <row r="139" spans="1:28" ht="26.25" thickBot="1">
      <c r="A139" s="130"/>
      <c r="B139" s="130"/>
      <c r="C139" s="148"/>
      <c r="D139" s="148"/>
      <c r="E139" s="39" t="s">
        <v>591</v>
      </c>
      <c r="F139" s="39">
        <v>102184</v>
      </c>
      <c r="G139" s="39" t="s">
        <v>26</v>
      </c>
      <c r="H139" s="40" t="s">
        <v>590</v>
      </c>
      <c r="I139" s="39" t="s">
        <v>24</v>
      </c>
      <c r="J139" s="38">
        <f>VLOOKUP(F139,'[1]Planilha Orçamentária'!B139:J516,5,FALSE)</f>
        <v>1</v>
      </c>
      <c r="K139" s="37">
        <f>VLOOKUP(F139,'[1]Planilha Orçamentária'!B140:J516,7,FALSE)*$K$1</f>
        <v>2310.0536339999999</v>
      </c>
      <c r="L139" s="36">
        <f>K139*J139</f>
        <v>2310.0536339999999</v>
      </c>
      <c r="M139" s="35">
        <f>L139/$O$8</f>
        <v>1.3803567827520165E-3</v>
      </c>
      <c r="N139" s="140"/>
      <c r="O139" s="109"/>
      <c r="P139" s="51">
        <v>1</v>
      </c>
      <c r="Q139" s="50">
        <v>2383.7800000000002</v>
      </c>
      <c r="R139" s="49">
        <v>2383.7800000000002</v>
      </c>
      <c r="S139" s="48">
        <v>2919.4153660000002</v>
      </c>
      <c r="T139" s="27">
        <v>0</v>
      </c>
      <c r="U139" s="26">
        <f>T139*K139</f>
        <v>0</v>
      </c>
      <c r="V139" s="121"/>
      <c r="W139" s="27">
        <f>T139</f>
        <v>0</v>
      </c>
      <c r="X139" s="26">
        <f>U139</f>
        <v>0</v>
      </c>
      <c r="Y139" s="121"/>
      <c r="Z139" s="27">
        <f>T139-W139</f>
        <v>0</v>
      </c>
      <c r="AA139" s="26">
        <f>L139-X139</f>
        <v>2310.0536339999999</v>
      </c>
      <c r="AB139" s="121"/>
    </row>
    <row r="140" spans="1:28" ht="12.75" customHeight="1">
      <c r="A140" s="136" t="s">
        <v>589</v>
      </c>
      <c r="B140" s="136">
        <v>11</v>
      </c>
      <c r="C140" s="162" t="s">
        <v>588</v>
      </c>
      <c r="D140" s="162" t="s">
        <v>587</v>
      </c>
      <c r="E140" s="77" t="s">
        <v>586</v>
      </c>
      <c r="F140" s="77" t="s">
        <v>585</v>
      </c>
      <c r="G140" s="77" t="s">
        <v>52</v>
      </c>
      <c r="H140" s="78" t="s">
        <v>584</v>
      </c>
      <c r="I140" s="77" t="s">
        <v>88</v>
      </c>
      <c r="J140" s="76">
        <f>VLOOKUP(F140,'[1]Planilha Orçamentária'!B140:J517,5,FALSE)</f>
        <v>110.39</v>
      </c>
      <c r="K140" s="75">
        <f>VLOOKUP(F140,'[1]Planilha Orçamentária'!B141:J517,7,FALSE)*$K$1</f>
        <v>73.996374000000003</v>
      </c>
      <c r="L140" s="74">
        <f>K140*J140</f>
        <v>8168.4597258600006</v>
      </c>
      <c r="M140" s="73">
        <f>L140/$O$8</f>
        <v>4.8810073589951684E-3</v>
      </c>
      <c r="N140" s="143">
        <f>SUM(L140:L142)</f>
        <v>24319.245781185</v>
      </c>
      <c r="O140" s="111">
        <f>N140/$O$8</f>
        <v>1.4531799336340466E-2</v>
      </c>
      <c r="P140" s="97">
        <v>110.39</v>
      </c>
      <c r="Q140" s="50">
        <v>80.39</v>
      </c>
      <c r="R140" s="49">
        <v>8874.25</v>
      </c>
      <c r="S140" s="48">
        <v>10868.293974999999</v>
      </c>
      <c r="T140" s="64">
        <v>0</v>
      </c>
      <c r="U140" s="66">
        <f>T140*K140</f>
        <v>0</v>
      </c>
      <c r="V140" s="125">
        <f>U140+U141+U142</f>
        <v>0</v>
      </c>
      <c r="W140" s="64">
        <f>T140</f>
        <v>0</v>
      </c>
      <c r="X140" s="66">
        <f>U140</f>
        <v>0</v>
      </c>
      <c r="Y140" s="125">
        <f>X140+X141+X142</f>
        <v>0</v>
      </c>
      <c r="Z140" s="64">
        <f>T140-W140</f>
        <v>0</v>
      </c>
      <c r="AA140" s="66">
        <f>L140-X140</f>
        <v>8168.4597258600006</v>
      </c>
      <c r="AB140" s="125">
        <f>AA140+AA141+AA142</f>
        <v>24319.245781185</v>
      </c>
    </row>
    <row r="141" spans="1:28">
      <c r="A141" s="133"/>
      <c r="B141" s="133"/>
      <c r="C141" s="153"/>
      <c r="D141" s="153"/>
      <c r="E141" s="58" t="s">
        <v>583</v>
      </c>
      <c r="F141" s="58" t="s">
        <v>582</v>
      </c>
      <c r="G141" s="58" t="s">
        <v>52</v>
      </c>
      <c r="H141" s="59" t="s">
        <v>581</v>
      </c>
      <c r="I141" s="58" t="s">
        <v>45</v>
      </c>
      <c r="J141" s="57">
        <f>VLOOKUP(F141,'[1]Planilha Orçamentária'!B141:J518,5,FALSE)</f>
        <v>10.5</v>
      </c>
      <c r="K141" s="56">
        <f>VLOOKUP(F141,'[1]Planilha Orçamentária'!B142:J518,7,FALSE)*$K$1</f>
        <v>401.66179725000001</v>
      </c>
      <c r="L141" s="55">
        <f>K141*J141</f>
        <v>4217.4488711249996</v>
      </c>
      <c r="M141" s="54">
        <f>L141/$O$8</f>
        <v>2.5201077886173569E-3</v>
      </c>
      <c r="N141" s="142"/>
      <c r="O141" s="141"/>
      <c r="P141" s="97">
        <v>10.5</v>
      </c>
      <c r="Q141" s="50">
        <v>422.15999999999997</v>
      </c>
      <c r="R141" s="49">
        <v>4432.68</v>
      </c>
      <c r="S141" s="48">
        <v>5428.7031959999995</v>
      </c>
      <c r="T141" s="45">
        <v>0</v>
      </c>
      <c r="U141" s="47">
        <f>T141*K141</f>
        <v>0</v>
      </c>
      <c r="V141" s="123"/>
      <c r="W141" s="45">
        <f>T141</f>
        <v>0</v>
      </c>
      <c r="X141" s="47">
        <f>U141</f>
        <v>0</v>
      </c>
      <c r="Y141" s="123"/>
      <c r="Z141" s="45">
        <f>T141-W141</f>
        <v>0</v>
      </c>
      <c r="AA141" s="47">
        <f>L141-X141</f>
        <v>4217.4488711249996</v>
      </c>
      <c r="AB141" s="123"/>
    </row>
    <row r="142" spans="1:28" ht="15" thickBot="1">
      <c r="A142" s="130"/>
      <c r="B142" s="130"/>
      <c r="C142" s="148"/>
      <c r="D142" s="148"/>
      <c r="E142" s="39" t="s">
        <v>580</v>
      </c>
      <c r="F142" s="39" t="s">
        <v>579</v>
      </c>
      <c r="G142" s="39" t="s">
        <v>33</v>
      </c>
      <c r="H142" s="40" t="s">
        <v>578</v>
      </c>
      <c r="I142" s="39" t="s">
        <v>45</v>
      </c>
      <c r="J142" s="38">
        <f>VLOOKUP(F142,'[1]Planilha Orçamentária'!B142:J519,5,FALSE)</f>
        <v>51.6</v>
      </c>
      <c r="K142" s="37">
        <f>VLOOKUP(F142,'[1]Planilha Orçamentária'!B143:J519,7,FALSE)*$K$1</f>
        <v>231.26622449999999</v>
      </c>
      <c r="L142" s="36">
        <f>K142*J142</f>
        <v>11933.3371842</v>
      </c>
      <c r="M142" s="35">
        <f>L142/$O$8</f>
        <v>7.1306841887279404E-3</v>
      </c>
      <c r="N142" s="140"/>
      <c r="O142" s="109"/>
      <c r="P142" s="97">
        <v>51.6</v>
      </c>
      <c r="Q142" s="50">
        <v>236</v>
      </c>
      <c r="R142" s="49">
        <v>12177.6</v>
      </c>
      <c r="S142" s="48">
        <v>14913.906719999999</v>
      </c>
      <c r="T142" s="27">
        <v>0</v>
      </c>
      <c r="U142" s="26">
        <f>T142*K142</f>
        <v>0</v>
      </c>
      <c r="V142" s="121"/>
      <c r="W142" s="27">
        <f>T142</f>
        <v>0</v>
      </c>
      <c r="X142" s="26">
        <f>U142</f>
        <v>0</v>
      </c>
      <c r="Y142" s="121"/>
      <c r="Z142" s="27">
        <f>T142-W142</f>
        <v>0</v>
      </c>
      <c r="AA142" s="26">
        <f>L142-X142</f>
        <v>11933.3371842</v>
      </c>
      <c r="AB142" s="121"/>
    </row>
    <row r="143" spans="1:28" ht="39" thickBot="1">
      <c r="A143" s="175" t="s">
        <v>577</v>
      </c>
      <c r="B143" s="175">
        <v>11</v>
      </c>
      <c r="C143" s="174" t="s">
        <v>576</v>
      </c>
      <c r="D143" s="174" t="s">
        <v>575</v>
      </c>
      <c r="E143" s="173" t="s">
        <v>574</v>
      </c>
      <c r="F143" s="173" t="s">
        <v>573</v>
      </c>
      <c r="G143" s="173" t="s">
        <v>52</v>
      </c>
      <c r="H143" s="174" t="s">
        <v>572</v>
      </c>
      <c r="I143" s="173" t="s">
        <v>24</v>
      </c>
      <c r="J143" s="172">
        <f>VLOOKUP(F143,'[1]Planilha Orçamentária'!B143:J520,5,FALSE)</f>
        <v>1</v>
      </c>
      <c r="K143" s="171">
        <f>VLOOKUP(F143,'[1]Planilha Orçamentária'!B144:J520,7,FALSE)*$K$1</f>
        <v>8527.9810657500002</v>
      </c>
      <c r="L143" s="169">
        <f>K143*J143</f>
        <v>8527.9810657500002</v>
      </c>
      <c r="M143" s="170">
        <f>L143/$O$8</f>
        <v>5.0958368818932731E-3</v>
      </c>
      <c r="N143" s="169">
        <f>SUM(L143)</f>
        <v>8527.9810657500002</v>
      </c>
      <c r="O143" s="168">
        <f>N143/$O$8</f>
        <v>5.0958368818932731E-3</v>
      </c>
      <c r="P143" s="51">
        <v>1</v>
      </c>
      <c r="Q143" s="50">
        <v>9243.08</v>
      </c>
      <c r="R143" s="49">
        <v>9243.08</v>
      </c>
      <c r="S143" s="48">
        <v>11320.000075999998</v>
      </c>
      <c r="T143" s="166">
        <v>0</v>
      </c>
      <c r="U143" s="165">
        <f>T143*K143</f>
        <v>0</v>
      </c>
      <c r="V143" s="167">
        <f>U143</f>
        <v>0</v>
      </c>
      <c r="W143" s="166">
        <f>T143</f>
        <v>0</v>
      </c>
      <c r="X143" s="165">
        <f>U143</f>
        <v>0</v>
      </c>
      <c r="Y143" s="167">
        <f>X143</f>
        <v>0</v>
      </c>
      <c r="Z143" s="166">
        <f>T143-W143</f>
        <v>0</v>
      </c>
      <c r="AA143" s="165">
        <f>L143-X143</f>
        <v>8527.9810657500002</v>
      </c>
      <c r="AB143" s="164">
        <f>AA143</f>
        <v>8527.9810657500002</v>
      </c>
    </row>
    <row r="144" spans="1:28" ht="51">
      <c r="A144" s="101" t="s">
        <v>571</v>
      </c>
      <c r="B144" s="101">
        <v>5</v>
      </c>
      <c r="C144" s="79" t="s">
        <v>570</v>
      </c>
      <c r="D144" s="79" t="s">
        <v>569</v>
      </c>
      <c r="E144" s="77" t="s">
        <v>568</v>
      </c>
      <c r="F144" s="77" t="s">
        <v>567</v>
      </c>
      <c r="G144" s="77" t="s">
        <v>33</v>
      </c>
      <c r="H144" s="78" t="s">
        <v>566</v>
      </c>
      <c r="I144" s="77" t="s">
        <v>24</v>
      </c>
      <c r="J144" s="76">
        <f>VLOOKUP(F144,'[1]Planilha Orçamentária'!B144:J521,5,FALSE)</f>
        <v>1</v>
      </c>
      <c r="K144" s="75">
        <f>VLOOKUP(F144,'[1]Planilha Orçamentária'!B145:J521,7,FALSE)*$K$1</f>
        <v>520.55567324999993</v>
      </c>
      <c r="L144" s="74">
        <f>K144*J144</f>
        <v>520.55567324999993</v>
      </c>
      <c r="M144" s="73">
        <f>L144/$O$8</f>
        <v>3.110544897290813E-4</v>
      </c>
      <c r="N144" s="134">
        <f>SUM(L144:L147)</f>
        <v>2222.2885702499998</v>
      </c>
      <c r="O144" s="71">
        <f>N144/$O$8</f>
        <v>1.3279133679096511E-3</v>
      </c>
      <c r="P144" s="51">
        <v>1</v>
      </c>
      <c r="Q144" s="50">
        <v>566.87</v>
      </c>
      <c r="R144" s="49">
        <v>566.87</v>
      </c>
      <c r="S144" s="48">
        <v>694.24568899999997</v>
      </c>
      <c r="T144" s="64">
        <v>0</v>
      </c>
      <c r="U144" s="66">
        <f>T144*K144</f>
        <v>0</v>
      </c>
      <c r="V144" s="100">
        <f>U144+U145+U146+U147</f>
        <v>0</v>
      </c>
      <c r="W144" s="64">
        <f>T144</f>
        <v>0</v>
      </c>
      <c r="X144" s="66">
        <f>U144</f>
        <v>0</v>
      </c>
      <c r="Y144" s="100">
        <f>X144+X145+X146+X147</f>
        <v>0</v>
      </c>
      <c r="Z144" s="64">
        <f>T144-W144</f>
        <v>0</v>
      </c>
      <c r="AA144" s="63">
        <f>L144-X144</f>
        <v>520.55567324999993</v>
      </c>
      <c r="AB144" s="99">
        <f>AA144+AA145+AA146+AA147</f>
        <v>2222.2885702499998</v>
      </c>
    </row>
    <row r="145" spans="1:28" ht="51">
      <c r="A145" s="98"/>
      <c r="B145" s="98"/>
      <c r="C145" s="60"/>
      <c r="D145" s="60"/>
      <c r="E145" s="58" t="s">
        <v>565</v>
      </c>
      <c r="F145" s="58" t="s">
        <v>564</v>
      </c>
      <c r="G145" s="58" t="s">
        <v>33</v>
      </c>
      <c r="H145" s="59" t="s">
        <v>563</v>
      </c>
      <c r="I145" s="58" t="s">
        <v>24</v>
      </c>
      <c r="J145" s="57">
        <f>VLOOKUP(F145,'[1]Planilha Orçamentária'!B145:J522,5,FALSE)</f>
        <v>1</v>
      </c>
      <c r="K145" s="56">
        <f>VLOOKUP(F145,'[1]Planilha Orçamentária'!B146:J522,7,FALSE)*$K$1</f>
        <v>1150.6821937499999</v>
      </c>
      <c r="L145" s="55">
        <f>K145*J145</f>
        <v>1150.6821937499999</v>
      </c>
      <c r="M145" s="54">
        <f>L145/$O$8</f>
        <v>6.875822914052664E-4</v>
      </c>
      <c r="N145" s="131"/>
      <c r="O145" s="52"/>
      <c r="P145" s="51">
        <v>1</v>
      </c>
      <c r="Q145" s="50">
        <v>1248.46</v>
      </c>
      <c r="R145" s="49">
        <v>1248.46</v>
      </c>
      <c r="S145" s="48">
        <v>1528.9889619999999</v>
      </c>
      <c r="T145" s="45">
        <v>0</v>
      </c>
      <c r="U145" s="47">
        <f>T145*K145</f>
        <v>0</v>
      </c>
      <c r="V145" s="83"/>
      <c r="W145" s="45">
        <f>T145</f>
        <v>0</v>
      </c>
      <c r="X145" s="47">
        <f>U145</f>
        <v>0</v>
      </c>
      <c r="Y145" s="83"/>
      <c r="Z145" s="45">
        <f>T145-W145</f>
        <v>0</v>
      </c>
      <c r="AA145" s="44">
        <f>L145-X145</f>
        <v>1150.6821937499999</v>
      </c>
      <c r="AB145" s="81"/>
    </row>
    <row r="146" spans="1:28" ht="25.5">
      <c r="A146" s="98"/>
      <c r="B146" s="98"/>
      <c r="C146" s="60"/>
      <c r="D146" s="60"/>
      <c r="E146" s="58" t="s">
        <v>562</v>
      </c>
      <c r="F146" s="58">
        <v>12774</v>
      </c>
      <c r="G146" s="58" t="s">
        <v>26</v>
      </c>
      <c r="H146" s="59" t="s">
        <v>561</v>
      </c>
      <c r="I146" s="58" t="s">
        <v>24</v>
      </c>
      <c r="J146" s="57">
        <f>VLOOKUP(F146,'[1]Planilha Orçamentária'!B146:J523,5,FALSE)</f>
        <v>1</v>
      </c>
      <c r="K146" s="56">
        <f>VLOOKUP(F146,'[1]Planilha Orçamentária'!B147:J523,7,FALSE)*$K$1</f>
        <v>309.87359399999997</v>
      </c>
      <c r="L146" s="55">
        <f>K146*J146</f>
        <v>309.87359399999997</v>
      </c>
      <c r="M146" s="54">
        <f>L146/$O$8</f>
        <v>1.8516285119016615E-4</v>
      </c>
      <c r="N146" s="131"/>
      <c r="O146" s="52"/>
      <c r="P146" s="51">
        <v>1</v>
      </c>
      <c r="Q146" s="50">
        <v>321.61</v>
      </c>
      <c r="R146" s="49">
        <v>321.61</v>
      </c>
      <c r="S146" s="48">
        <v>393.875767</v>
      </c>
      <c r="T146" s="82">
        <v>0</v>
      </c>
      <c r="U146" s="44">
        <f>T146*K146</f>
        <v>0</v>
      </c>
      <c r="V146" s="83"/>
      <c r="W146" s="82">
        <f>T146</f>
        <v>0</v>
      </c>
      <c r="X146" s="44">
        <f>U146</f>
        <v>0</v>
      </c>
      <c r="Y146" s="83"/>
      <c r="Z146" s="82">
        <f>T146-W146</f>
        <v>0</v>
      </c>
      <c r="AA146" s="44">
        <f>L146-X146</f>
        <v>309.87359399999997</v>
      </c>
      <c r="AB146" s="81"/>
    </row>
    <row r="147" spans="1:28" ht="26.25" thickBot="1">
      <c r="A147" s="104"/>
      <c r="B147" s="104"/>
      <c r="C147" s="41"/>
      <c r="D147" s="41"/>
      <c r="E147" s="39" t="s">
        <v>560</v>
      </c>
      <c r="F147" s="39">
        <v>95635</v>
      </c>
      <c r="G147" s="39" t="s">
        <v>26</v>
      </c>
      <c r="H147" s="40" t="s">
        <v>559</v>
      </c>
      <c r="I147" s="39" t="s">
        <v>24</v>
      </c>
      <c r="J147" s="38">
        <f>VLOOKUP(F147,'[1]Planilha Orçamentária'!B147:J524,5,FALSE)</f>
        <v>1</v>
      </c>
      <c r="K147" s="37">
        <f>VLOOKUP(F147,'[1]Planilha Orçamentária'!B148:J524,7,FALSE)*$K$1</f>
        <v>241.17710925</v>
      </c>
      <c r="L147" s="36">
        <f>K147*J147</f>
        <v>241.17710925</v>
      </c>
      <c r="M147" s="35">
        <f>L147/$O$8</f>
        <v>1.4411373558513734E-4</v>
      </c>
      <c r="N147" s="128"/>
      <c r="O147" s="33"/>
      <c r="P147" s="51">
        <v>1</v>
      </c>
      <c r="Q147" s="50">
        <v>248.03</v>
      </c>
      <c r="R147" s="49">
        <v>248.03</v>
      </c>
      <c r="S147" s="48">
        <v>303.76234099999999</v>
      </c>
      <c r="T147" s="27">
        <v>0</v>
      </c>
      <c r="U147" s="26">
        <f>T147*K147</f>
        <v>0</v>
      </c>
      <c r="V147" s="103"/>
      <c r="W147" s="27">
        <f>T147</f>
        <v>0</v>
      </c>
      <c r="X147" s="26">
        <f>U147</f>
        <v>0</v>
      </c>
      <c r="Y147" s="103"/>
      <c r="Z147" s="27">
        <f>T147-W147</f>
        <v>0</v>
      </c>
      <c r="AA147" s="26">
        <f>L147-X147</f>
        <v>241.17710925</v>
      </c>
      <c r="AB147" s="102"/>
    </row>
    <row r="148" spans="1:28" ht="25.5">
      <c r="A148" s="139" t="s">
        <v>558</v>
      </c>
      <c r="B148" s="139">
        <v>5</v>
      </c>
      <c r="C148" s="162" t="s">
        <v>557</v>
      </c>
      <c r="D148" s="162" t="s">
        <v>556</v>
      </c>
      <c r="E148" s="77" t="s">
        <v>555</v>
      </c>
      <c r="F148" s="77">
        <v>98102</v>
      </c>
      <c r="G148" s="77" t="s">
        <v>26</v>
      </c>
      <c r="H148" s="78" t="s">
        <v>554</v>
      </c>
      <c r="I148" s="77" t="s">
        <v>24</v>
      </c>
      <c r="J148" s="76">
        <f>VLOOKUP(F148,'[1]Planilha Orçamentária'!B148:J525,5,FALSE)</f>
        <v>1</v>
      </c>
      <c r="K148" s="75">
        <f>VLOOKUP(F148,'[1]Planilha Orçamentária'!B149:J525,7,FALSE)*$K$1</f>
        <v>200.87223224999997</v>
      </c>
      <c r="L148" s="74">
        <f>K148*J148</f>
        <v>200.87223224999997</v>
      </c>
      <c r="M148" s="73">
        <f>L148/$O$8</f>
        <v>1.2002983141681716E-4</v>
      </c>
      <c r="N148" s="134">
        <f>SUM(L148:L178)</f>
        <v>19596.193170464994</v>
      </c>
      <c r="O148" s="71">
        <f>N148/$O$8</f>
        <v>1.1709571483901789E-2</v>
      </c>
      <c r="P148" s="51">
        <v>1</v>
      </c>
      <c r="Q148" s="50">
        <v>218.5</v>
      </c>
      <c r="R148" s="49">
        <v>218.5</v>
      </c>
      <c r="S148" s="163">
        <v>267.59694999999999</v>
      </c>
      <c r="T148" s="64">
        <v>0</v>
      </c>
      <c r="U148" s="66">
        <f>T148*K148</f>
        <v>0</v>
      </c>
      <c r="V148" s="99">
        <f>SUM(U148:U178)</f>
        <v>0</v>
      </c>
      <c r="W148" s="64">
        <f>T148</f>
        <v>0</v>
      </c>
      <c r="X148" s="66">
        <f>U148</f>
        <v>0</v>
      </c>
      <c r="Y148" s="99">
        <f>SUM(X148:X178)</f>
        <v>0</v>
      </c>
      <c r="Z148" s="64">
        <f>T148-W148</f>
        <v>0</v>
      </c>
      <c r="AA148" s="63">
        <f>L148-X148</f>
        <v>200.87223224999997</v>
      </c>
      <c r="AB148" s="99">
        <f>SUM(AA148:AA178)</f>
        <v>19596.193170464994</v>
      </c>
    </row>
    <row r="149" spans="1:28" ht="25.5">
      <c r="A149" s="138"/>
      <c r="B149" s="138"/>
      <c r="C149" s="153"/>
      <c r="D149" s="153"/>
      <c r="E149" s="58" t="s">
        <v>553</v>
      </c>
      <c r="F149" s="58">
        <v>97974</v>
      </c>
      <c r="G149" s="58" t="s">
        <v>26</v>
      </c>
      <c r="H149" s="59" t="s">
        <v>552</v>
      </c>
      <c r="I149" s="58" t="s">
        <v>24</v>
      </c>
      <c r="J149" s="57">
        <f>VLOOKUP(F149,'[1]Planilha Orçamentária'!B149:J526,5,FALSE)</f>
        <v>10</v>
      </c>
      <c r="K149" s="56">
        <f>VLOOKUP(F149,'[1]Planilha Orçamentária'!B150:J526,7,FALSE)*$K$1</f>
        <v>540.14781149999988</v>
      </c>
      <c r="L149" s="55">
        <f>K149*J149</f>
        <v>5401.478114999999</v>
      </c>
      <c r="M149" s="54">
        <f>L149/$O$8</f>
        <v>3.2276163822293428E-3</v>
      </c>
      <c r="N149" s="131"/>
      <c r="O149" s="52"/>
      <c r="P149" s="51">
        <v>10</v>
      </c>
      <c r="Q149" s="50">
        <v>586.54</v>
      </c>
      <c r="R149" s="49">
        <v>5865.4</v>
      </c>
      <c r="S149" s="163">
        <v>7183.3553799999991</v>
      </c>
      <c r="T149" s="45">
        <v>0</v>
      </c>
      <c r="U149" s="47">
        <f>T149*K149</f>
        <v>0</v>
      </c>
      <c r="V149" s="81"/>
      <c r="W149" s="45">
        <f>T149</f>
        <v>0</v>
      </c>
      <c r="X149" s="47">
        <f>U149</f>
        <v>0</v>
      </c>
      <c r="Y149" s="81"/>
      <c r="Z149" s="45">
        <f>T149-W149</f>
        <v>0</v>
      </c>
      <c r="AA149" s="44">
        <f>L149-X149</f>
        <v>5401.478114999999</v>
      </c>
      <c r="AB149" s="81"/>
    </row>
    <row r="150" spans="1:28" ht="25.5">
      <c r="A150" s="138"/>
      <c r="B150" s="138"/>
      <c r="C150" s="153"/>
      <c r="D150" s="153"/>
      <c r="E150" s="58" t="s">
        <v>551</v>
      </c>
      <c r="F150" s="58">
        <v>98114</v>
      </c>
      <c r="G150" s="58" t="s">
        <v>26</v>
      </c>
      <c r="H150" s="59" t="s">
        <v>550</v>
      </c>
      <c r="I150" s="58" t="s">
        <v>24</v>
      </c>
      <c r="J150" s="57">
        <f>VLOOKUP(F150,'[1]Planilha Orçamentária'!B150:J527,5,FALSE)</f>
        <v>10</v>
      </c>
      <c r="K150" s="56">
        <f>VLOOKUP(F150,'[1]Planilha Orçamentária'!B151:J527,7,FALSE)*$K$1</f>
        <v>595.59916574999988</v>
      </c>
      <c r="L150" s="55">
        <f>K150*J150</f>
        <v>5955.9916574999988</v>
      </c>
      <c r="M150" s="54">
        <f>L150/$O$8</f>
        <v>3.5589621649644129E-3</v>
      </c>
      <c r="N150" s="131"/>
      <c r="O150" s="52"/>
      <c r="P150" s="51">
        <v>10</v>
      </c>
      <c r="Q150" s="50">
        <v>559.29</v>
      </c>
      <c r="R150" s="49">
        <v>5592.9</v>
      </c>
      <c r="S150" s="163">
        <v>6849.6246299999993</v>
      </c>
      <c r="T150" s="82">
        <v>0</v>
      </c>
      <c r="U150" s="44">
        <f>T150*K150</f>
        <v>0</v>
      </c>
      <c r="V150" s="81"/>
      <c r="W150" s="82">
        <f>T150</f>
        <v>0</v>
      </c>
      <c r="X150" s="44">
        <f>U150</f>
        <v>0</v>
      </c>
      <c r="Y150" s="81"/>
      <c r="Z150" s="82">
        <f>T150-W150</f>
        <v>0</v>
      </c>
      <c r="AA150" s="44">
        <f>L150-X150</f>
        <v>5955.9916574999988</v>
      </c>
      <c r="AB150" s="81"/>
    </row>
    <row r="151" spans="1:28" ht="25.5">
      <c r="A151" s="138"/>
      <c r="B151" s="138"/>
      <c r="C151" s="153"/>
      <c r="D151" s="153"/>
      <c r="E151" s="58" t="s">
        <v>549</v>
      </c>
      <c r="F151" s="58">
        <v>89707</v>
      </c>
      <c r="G151" s="58" t="s">
        <v>26</v>
      </c>
      <c r="H151" s="59" t="s">
        <v>548</v>
      </c>
      <c r="I151" s="58" t="s">
        <v>24</v>
      </c>
      <c r="J151" s="57">
        <f>VLOOKUP(F151,'[1]Planilha Orçamentária'!B151:J528,5,FALSE)</f>
        <v>8</v>
      </c>
      <c r="K151" s="56">
        <f>VLOOKUP(F151,'[1]Planilha Orçamentária'!B152:J528,7,FALSE)*$K$1</f>
        <v>60.236869499999997</v>
      </c>
      <c r="L151" s="55">
        <f>K151*J151</f>
        <v>481.89495599999998</v>
      </c>
      <c r="M151" s="54">
        <f>L151/$O$8</f>
        <v>2.8795304199789179E-4</v>
      </c>
      <c r="N151" s="131"/>
      <c r="O151" s="52"/>
      <c r="P151" s="51">
        <v>8</v>
      </c>
      <c r="Q151" s="50">
        <v>65.239999999999995</v>
      </c>
      <c r="R151" s="49">
        <v>521.91999999999996</v>
      </c>
      <c r="S151" s="163">
        <v>639.19542399999989</v>
      </c>
      <c r="T151" s="45">
        <v>0</v>
      </c>
      <c r="U151" s="47">
        <f>T151*K151</f>
        <v>0</v>
      </c>
      <c r="V151" s="81"/>
      <c r="W151" s="45">
        <f>T151</f>
        <v>0</v>
      </c>
      <c r="X151" s="47">
        <f>U151</f>
        <v>0</v>
      </c>
      <c r="Y151" s="81"/>
      <c r="Z151" s="45">
        <f>T151-W151</f>
        <v>0</v>
      </c>
      <c r="AA151" s="47">
        <f>L151-X151</f>
        <v>481.89495599999998</v>
      </c>
      <c r="AB151" s="81"/>
    </row>
    <row r="152" spans="1:28" ht="25.5">
      <c r="A152" s="138"/>
      <c r="B152" s="138"/>
      <c r="C152" s="153"/>
      <c r="D152" s="153"/>
      <c r="E152" s="58" t="s">
        <v>547</v>
      </c>
      <c r="F152" s="58">
        <v>89708</v>
      </c>
      <c r="G152" s="58" t="s">
        <v>26</v>
      </c>
      <c r="H152" s="59" t="s">
        <v>546</v>
      </c>
      <c r="I152" s="58" t="s">
        <v>24</v>
      </c>
      <c r="J152" s="57">
        <f>VLOOKUP(F152,'[1]Planilha Orçamentária'!B152:J529,5,FALSE)</f>
        <v>3</v>
      </c>
      <c r="K152" s="56">
        <f>VLOOKUP(F152,'[1]Planilha Orçamentária'!B153:J529,7,FALSE)*$K$1</f>
        <v>126.93096974999999</v>
      </c>
      <c r="L152" s="55">
        <f>K152*J152</f>
        <v>380.79290924999998</v>
      </c>
      <c r="M152" s="54">
        <f>L152/$O$8</f>
        <v>2.2754020398952808E-4</v>
      </c>
      <c r="N152" s="131"/>
      <c r="O152" s="52"/>
      <c r="P152" s="51">
        <v>3</v>
      </c>
      <c r="Q152" s="50">
        <v>138.58000000000001</v>
      </c>
      <c r="R152" s="49">
        <v>415.74</v>
      </c>
      <c r="S152" s="163">
        <v>509.15677799999997</v>
      </c>
      <c r="T152" s="156">
        <v>0</v>
      </c>
      <c r="U152" s="154">
        <f>T152*K152</f>
        <v>0</v>
      </c>
      <c r="V152" s="81"/>
      <c r="W152" s="156">
        <f>T152</f>
        <v>0</v>
      </c>
      <c r="X152" s="154">
        <f>U152</f>
        <v>0</v>
      </c>
      <c r="Y152" s="81"/>
      <c r="Z152" s="156">
        <f>T152-W152</f>
        <v>0</v>
      </c>
      <c r="AA152" s="154">
        <f>L152-X152</f>
        <v>380.79290924999998</v>
      </c>
      <c r="AB152" s="81"/>
    </row>
    <row r="153" spans="1:28" ht="25.5">
      <c r="A153" s="138"/>
      <c r="B153" s="138"/>
      <c r="C153" s="153"/>
      <c r="D153" s="153"/>
      <c r="E153" s="58" t="s">
        <v>545</v>
      </c>
      <c r="F153" s="58">
        <v>89711</v>
      </c>
      <c r="G153" s="58" t="s">
        <v>26</v>
      </c>
      <c r="H153" s="59" t="s">
        <v>544</v>
      </c>
      <c r="I153" s="58" t="s">
        <v>88</v>
      </c>
      <c r="J153" s="57">
        <f>VLOOKUP(F153,'[1]Planilha Orçamentária'!B153:J530,5,FALSE)</f>
        <v>13.68</v>
      </c>
      <c r="K153" s="56">
        <f>VLOOKUP(F153,'[1]Planilha Orçamentária'!B154:J530,7,FALSE)*$K$1</f>
        <v>25.856478749999994</v>
      </c>
      <c r="L153" s="55">
        <f>K153*J153</f>
        <v>353.71662929999991</v>
      </c>
      <c r="M153" s="54">
        <f>L153/$O$8</f>
        <v>2.1136095770252388E-4</v>
      </c>
      <c r="N153" s="131"/>
      <c r="O153" s="52"/>
      <c r="P153" s="51">
        <v>13.68</v>
      </c>
      <c r="Q153" s="50">
        <v>27.48</v>
      </c>
      <c r="R153" s="49">
        <v>375.92</v>
      </c>
      <c r="S153" s="163">
        <v>460.38922399999996</v>
      </c>
      <c r="T153" s="82">
        <v>0</v>
      </c>
      <c r="U153" s="44">
        <f>T153*K153</f>
        <v>0</v>
      </c>
      <c r="V153" s="81"/>
      <c r="W153" s="82">
        <f>T153</f>
        <v>0</v>
      </c>
      <c r="X153" s="44">
        <f>U153</f>
        <v>0</v>
      </c>
      <c r="Y153" s="81"/>
      <c r="Z153" s="82">
        <f>T153-W153</f>
        <v>0</v>
      </c>
      <c r="AA153" s="44">
        <f>L153-X153</f>
        <v>353.71662929999991</v>
      </c>
      <c r="AB153" s="81"/>
    </row>
    <row r="154" spans="1:28" ht="25.5">
      <c r="A154" s="138"/>
      <c r="B154" s="138"/>
      <c r="C154" s="153"/>
      <c r="D154" s="153"/>
      <c r="E154" s="58" t="s">
        <v>543</v>
      </c>
      <c r="F154" s="58">
        <v>89712</v>
      </c>
      <c r="G154" s="58" t="s">
        <v>26</v>
      </c>
      <c r="H154" s="59" t="s">
        <v>542</v>
      </c>
      <c r="I154" s="58" t="s">
        <v>88</v>
      </c>
      <c r="J154" s="57">
        <f>VLOOKUP(F154,'[1]Planilha Orçamentária'!B154:J531,5,FALSE)</f>
        <v>13.45</v>
      </c>
      <c r="K154" s="56">
        <f>VLOOKUP(F154,'[1]Planilha Orçamentária'!B155:J531,7,FALSE)*$K$1</f>
        <v>31.964669999999995</v>
      </c>
      <c r="L154" s="55">
        <f>K154*J154</f>
        <v>429.92481149999992</v>
      </c>
      <c r="M154" s="54">
        <f>L154/$O$8</f>
        <v>2.5689863685104687E-4</v>
      </c>
      <c r="N154" s="131"/>
      <c r="O154" s="52"/>
      <c r="P154" s="51">
        <v>13.45</v>
      </c>
      <c r="Q154" s="50">
        <v>34.07</v>
      </c>
      <c r="R154" s="49">
        <v>458.24</v>
      </c>
      <c r="S154" s="163">
        <v>561.20652799999993</v>
      </c>
      <c r="T154" s="82">
        <v>0</v>
      </c>
      <c r="U154" s="44">
        <f>T154*K154</f>
        <v>0</v>
      </c>
      <c r="V154" s="81"/>
      <c r="W154" s="82">
        <f>T154</f>
        <v>0</v>
      </c>
      <c r="X154" s="44">
        <f>U154</f>
        <v>0</v>
      </c>
      <c r="Y154" s="81"/>
      <c r="Z154" s="82">
        <f>T154-W154</f>
        <v>0</v>
      </c>
      <c r="AA154" s="44">
        <f>L154-X154</f>
        <v>429.92481149999992</v>
      </c>
      <c r="AB154" s="81"/>
    </row>
    <row r="155" spans="1:28" ht="25.5">
      <c r="A155" s="138"/>
      <c r="B155" s="138"/>
      <c r="C155" s="153"/>
      <c r="D155" s="153"/>
      <c r="E155" s="58" t="s">
        <v>541</v>
      </c>
      <c r="F155" s="58">
        <v>89713</v>
      </c>
      <c r="G155" s="58" t="s">
        <v>26</v>
      </c>
      <c r="H155" s="59" t="s">
        <v>540</v>
      </c>
      <c r="I155" s="58" t="s">
        <v>88</v>
      </c>
      <c r="J155" s="57">
        <f>VLOOKUP(F155,'[1]Planilha Orçamentária'!B155:J532,5,FALSE)</f>
        <v>10.69</v>
      </c>
      <c r="K155" s="56">
        <f>VLOOKUP(F155,'[1]Planilha Orçamentária'!B156:J532,7,FALSE)*$K$1</f>
        <v>39.606797999999991</v>
      </c>
      <c r="L155" s="55">
        <f>K155*J155</f>
        <v>423.3966706199999</v>
      </c>
      <c r="M155" s="54">
        <f>L155/$O$8</f>
        <v>2.5299779082312783E-4</v>
      </c>
      <c r="N155" s="131"/>
      <c r="O155" s="52"/>
      <c r="P155" s="51">
        <v>10.69</v>
      </c>
      <c r="Q155" s="50">
        <v>42.22</v>
      </c>
      <c r="R155" s="49">
        <v>451.33</v>
      </c>
      <c r="S155" s="163">
        <v>552.74385099999995</v>
      </c>
      <c r="T155" s="82">
        <v>0</v>
      </c>
      <c r="U155" s="44">
        <f>T155*K155</f>
        <v>0</v>
      </c>
      <c r="V155" s="81"/>
      <c r="W155" s="82">
        <f>T155</f>
        <v>0</v>
      </c>
      <c r="X155" s="44">
        <f>U155</f>
        <v>0</v>
      </c>
      <c r="Y155" s="81"/>
      <c r="Z155" s="82">
        <f>T155-W155</f>
        <v>0</v>
      </c>
      <c r="AA155" s="44">
        <f>L155-X155</f>
        <v>423.3966706199999</v>
      </c>
      <c r="AB155" s="81"/>
    </row>
    <row r="156" spans="1:28" ht="25.5">
      <c r="A156" s="138"/>
      <c r="B156" s="138"/>
      <c r="C156" s="153"/>
      <c r="D156" s="153"/>
      <c r="E156" s="58" t="s">
        <v>539</v>
      </c>
      <c r="F156" s="58">
        <v>89714</v>
      </c>
      <c r="G156" s="58" t="s">
        <v>26</v>
      </c>
      <c r="H156" s="59" t="s">
        <v>538</v>
      </c>
      <c r="I156" s="58" t="s">
        <v>88</v>
      </c>
      <c r="J156" s="57">
        <f>VLOOKUP(F156,'[1]Planilha Orçamentária'!B156:J533,5,FALSE)</f>
        <v>58.99</v>
      </c>
      <c r="K156" s="56">
        <f>VLOOKUP(F156,'[1]Planilha Orçamentária'!B157:J533,7,FALSE)*$K$1</f>
        <v>44.548462499999999</v>
      </c>
      <c r="L156" s="55">
        <f>K156*J156</f>
        <v>2627.9138028749999</v>
      </c>
      <c r="M156" s="54">
        <f>L156/$O$8</f>
        <v>1.5702919572499207E-3</v>
      </c>
      <c r="N156" s="131"/>
      <c r="O156" s="52"/>
      <c r="P156" s="51">
        <v>58.99</v>
      </c>
      <c r="Q156" s="50">
        <v>47.46</v>
      </c>
      <c r="R156" s="49">
        <v>2799.66</v>
      </c>
      <c r="S156" s="163">
        <v>3428.7436019999996</v>
      </c>
      <c r="T156" s="82">
        <v>0</v>
      </c>
      <c r="U156" s="44">
        <f>T156*K156</f>
        <v>0</v>
      </c>
      <c r="V156" s="81"/>
      <c r="W156" s="82">
        <f>T156</f>
        <v>0</v>
      </c>
      <c r="X156" s="44">
        <f>U156</f>
        <v>0</v>
      </c>
      <c r="Y156" s="81"/>
      <c r="Z156" s="82">
        <f>T156-W156</f>
        <v>0</v>
      </c>
      <c r="AA156" s="44">
        <f>L156-X156</f>
        <v>2627.9138028749999</v>
      </c>
      <c r="AB156" s="81"/>
    </row>
    <row r="157" spans="1:28">
      <c r="A157" s="138"/>
      <c r="B157" s="138"/>
      <c r="C157" s="153"/>
      <c r="D157" s="153"/>
      <c r="E157" s="58" t="s">
        <v>537</v>
      </c>
      <c r="F157" s="58">
        <v>104086</v>
      </c>
      <c r="G157" s="58" t="s">
        <v>26</v>
      </c>
      <c r="H157" s="59" t="s">
        <v>536</v>
      </c>
      <c r="I157" s="58" t="s">
        <v>88</v>
      </c>
      <c r="J157" s="57">
        <f>VLOOKUP(F157,'[1]Planilha Orçamentária'!B157:J534,5,FALSE)</f>
        <v>1.72</v>
      </c>
      <c r="K157" s="56">
        <f>VLOOKUP(F157,'[1]Planilha Orçamentária'!B158:J534,7,FALSE)*$K$1</f>
        <v>100.43152349999998</v>
      </c>
      <c r="L157" s="55">
        <f>K157*J157</f>
        <v>172.74222041999997</v>
      </c>
      <c r="M157" s="54">
        <f>L157/$O$8</f>
        <v>1.0322093483669776E-4</v>
      </c>
      <c r="N157" s="131"/>
      <c r="O157" s="52"/>
      <c r="P157" s="51">
        <v>1.72</v>
      </c>
      <c r="Q157" s="50">
        <v>108.69</v>
      </c>
      <c r="R157" s="49">
        <v>186.94</v>
      </c>
      <c r="S157" s="163">
        <v>228.94541799999999</v>
      </c>
      <c r="T157" s="82">
        <v>0</v>
      </c>
      <c r="U157" s="44">
        <f>T157*K157</f>
        <v>0</v>
      </c>
      <c r="V157" s="81"/>
      <c r="W157" s="82">
        <f>T157</f>
        <v>0</v>
      </c>
      <c r="X157" s="44">
        <f>U157</f>
        <v>0</v>
      </c>
      <c r="Y157" s="81"/>
      <c r="Z157" s="82">
        <f>T157-W157</f>
        <v>0</v>
      </c>
      <c r="AA157" s="44">
        <f>L157-X157</f>
        <v>172.74222041999997</v>
      </c>
      <c r="AB157" s="81"/>
    </row>
    <row r="158" spans="1:28" ht="25.5">
      <c r="A158" s="138"/>
      <c r="B158" s="138"/>
      <c r="C158" s="153"/>
      <c r="D158" s="153"/>
      <c r="E158" s="58" t="s">
        <v>535</v>
      </c>
      <c r="F158" s="58">
        <v>104063</v>
      </c>
      <c r="G158" s="58" t="s">
        <v>26</v>
      </c>
      <c r="H158" s="59" t="s">
        <v>534</v>
      </c>
      <c r="I158" s="58" t="s">
        <v>24</v>
      </c>
      <c r="J158" s="57">
        <f>VLOOKUP(F158,'[1]Planilha Orçamentária'!B158:J535,5,FALSE)</f>
        <v>1</v>
      </c>
      <c r="K158" s="56">
        <f>VLOOKUP(F158,'[1]Planilha Orçamentária'!B159:J535,7,FALSE)*$K$1</f>
        <v>70.680498749999998</v>
      </c>
      <c r="L158" s="55">
        <f>K158*J158</f>
        <v>70.680498749999998</v>
      </c>
      <c r="M158" s="54">
        <f>L158/$O$8</f>
        <v>4.2234649629722807E-5</v>
      </c>
      <c r="N158" s="131"/>
      <c r="O158" s="52"/>
      <c r="P158" s="51">
        <v>1</v>
      </c>
      <c r="Q158" s="50">
        <v>76.510000000000005</v>
      </c>
      <c r="R158" s="49">
        <v>76.510000000000005</v>
      </c>
      <c r="S158" s="163">
        <v>93.701796999999999</v>
      </c>
      <c r="T158" s="82">
        <v>0</v>
      </c>
      <c r="U158" s="44">
        <f>T158*K158</f>
        <v>0</v>
      </c>
      <c r="V158" s="81"/>
      <c r="W158" s="82">
        <f>T158</f>
        <v>0</v>
      </c>
      <c r="X158" s="44">
        <f>U158</f>
        <v>0</v>
      </c>
      <c r="Y158" s="81"/>
      <c r="Z158" s="82">
        <f>T158-W158</f>
        <v>0</v>
      </c>
      <c r="AA158" s="44">
        <f>L158-X158</f>
        <v>70.680498749999998</v>
      </c>
      <c r="AB158" s="81"/>
    </row>
    <row r="159" spans="1:28" ht="25.5">
      <c r="A159" s="138"/>
      <c r="B159" s="138"/>
      <c r="C159" s="153"/>
      <c r="D159" s="153"/>
      <c r="E159" s="58" t="s">
        <v>533</v>
      </c>
      <c r="F159" s="58">
        <v>89746</v>
      </c>
      <c r="G159" s="58" t="s">
        <v>26</v>
      </c>
      <c r="H159" s="59" t="s">
        <v>532</v>
      </c>
      <c r="I159" s="58" t="s">
        <v>24</v>
      </c>
      <c r="J159" s="57">
        <f>VLOOKUP(F159,'[1]Planilha Orçamentária'!B159:J536,5,FALSE)</f>
        <v>5</v>
      </c>
      <c r="K159" s="56">
        <f>VLOOKUP(F159,'[1]Planilha Orçamentária'!B160:J536,7,FALSE)*$K$1</f>
        <v>30.1459905</v>
      </c>
      <c r="L159" s="55">
        <f>K159*J159</f>
        <v>150.7299525</v>
      </c>
      <c r="M159" s="54">
        <f>L159/$O$8</f>
        <v>9.0067654376056044E-5</v>
      </c>
      <c r="N159" s="131"/>
      <c r="O159" s="52"/>
      <c r="P159" s="51">
        <v>5</v>
      </c>
      <c r="Q159" s="50">
        <v>32.33</v>
      </c>
      <c r="R159" s="49">
        <v>161.65</v>
      </c>
      <c r="S159" s="163">
        <v>197.97275499999998</v>
      </c>
      <c r="T159" s="82">
        <v>0</v>
      </c>
      <c r="U159" s="44">
        <f>T159*K159</f>
        <v>0</v>
      </c>
      <c r="V159" s="81"/>
      <c r="W159" s="82">
        <f>T159</f>
        <v>0</v>
      </c>
      <c r="X159" s="44">
        <f>U159</f>
        <v>0</v>
      </c>
      <c r="Y159" s="81"/>
      <c r="Z159" s="82">
        <f>T159-W159</f>
        <v>0</v>
      </c>
      <c r="AA159" s="44">
        <f>L159-X159</f>
        <v>150.7299525</v>
      </c>
      <c r="AB159" s="81"/>
    </row>
    <row r="160" spans="1:28" ht="25.5">
      <c r="A160" s="138"/>
      <c r="B160" s="138"/>
      <c r="C160" s="153"/>
      <c r="D160" s="153"/>
      <c r="E160" s="58" t="s">
        <v>531</v>
      </c>
      <c r="F160" s="58">
        <v>89739</v>
      </c>
      <c r="G160" s="58" t="s">
        <v>26</v>
      </c>
      <c r="H160" s="59" t="s">
        <v>530</v>
      </c>
      <c r="I160" s="58" t="s">
        <v>24</v>
      </c>
      <c r="J160" s="57">
        <f>VLOOKUP(F160,'[1]Planilha Orçamentária'!B160:J537,5,FALSE)</f>
        <v>5</v>
      </c>
      <c r="K160" s="56">
        <f>VLOOKUP(F160,'[1]Planilha Orçamentária'!B161:J537,7,FALSE)*$K$1</f>
        <v>25.158399749999997</v>
      </c>
      <c r="L160" s="55">
        <f>K160*J160</f>
        <v>125.79199874999999</v>
      </c>
      <c r="M160" s="54">
        <f>L160/$O$8</f>
        <v>7.5166150315666522E-5</v>
      </c>
      <c r="N160" s="131"/>
      <c r="O160" s="52"/>
      <c r="P160" s="51">
        <v>5</v>
      </c>
      <c r="Q160" s="50">
        <v>26.98</v>
      </c>
      <c r="R160" s="49">
        <v>134.9</v>
      </c>
      <c r="S160" s="163">
        <v>165.21203</v>
      </c>
      <c r="T160" s="82">
        <v>0</v>
      </c>
      <c r="U160" s="44">
        <f>T160*K160</f>
        <v>0</v>
      </c>
      <c r="V160" s="81"/>
      <c r="W160" s="82">
        <f>T160</f>
        <v>0</v>
      </c>
      <c r="X160" s="44">
        <f>U160</f>
        <v>0</v>
      </c>
      <c r="Y160" s="81"/>
      <c r="Z160" s="82">
        <f>T160-W160</f>
        <v>0</v>
      </c>
      <c r="AA160" s="44">
        <f>L160-X160</f>
        <v>125.79199874999999</v>
      </c>
      <c r="AB160" s="81"/>
    </row>
    <row r="161" spans="1:28" ht="25.5">
      <c r="A161" s="138"/>
      <c r="B161" s="138"/>
      <c r="C161" s="153"/>
      <c r="D161" s="153"/>
      <c r="E161" s="58" t="s">
        <v>529</v>
      </c>
      <c r="F161" s="58">
        <v>89732</v>
      </c>
      <c r="G161" s="58" t="s">
        <v>26</v>
      </c>
      <c r="H161" s="59" t="s">
        <v>528</v>
      </c>
      <c r="I161" s="58" t="s">
        <v>24</v>
      </c>
      <c r="J161" s="57">
        <f>VLOOKUP(F161,'[1]Planilha Orçamentária'!B161:J538,5,FALSE)</f>
        <v>9</v>
      </c>
      <c r="K161" s="56">
        <f>VLOOKUP(F161,'[1]Planilha Orçamentária'!B162:J538,7,FALSE)*$K$1</f>
        <v>17.121306000000001</v>
      </c>
      <c r="L161" s="55">
        <f>K161*J161</f>
        <v>154.09175400000001</v>
      </c>
      <c r="M161" s="54">
        <f>L161/$O$8</f>
        <v>9.2076475917898627E-5</v>
      </c>
      <c r="N161" s="131"/>
      <c r="O161" s="52"/>
      <c r="P161" s="51">
        <v>9</v>
      </c>
      <c r="Q161" s="50">
        <v>18.32</v>
      </c>
      <c r="R161" s="49">
        <v>164.88</v>
      </c>
      <c r="S161" s="163">
        <v>201.92853599999998</v>
      </c>
      <c r="T161" s="82">
        <v>0</v>
      </c>
      <c r="U161" s="44">
        <f>T161*K161</f>
        <v>0</v>
      </c>
      <c r="V161" s="81"/>
      <c r="W161" s="82">
        <f>T161</f>
        <v>0</v>
      </c>
      <c r="X161" s="44">
        <f>U161</f>
        <v>0</v>
      </c>
      <c r="Y161" s="81"/>
      <c r="Z161" s="82">
        <f>T161-W161</f>
        <v>0</v>
      </c>
      <c r="AA161" s="44">
        <f>L161-X161</f>
        <v>154.09175400000001</v>
      </c>
      <c r="AB161" s="81"/>
    </row>
    <row r="162" spans="1:28" ht="25.5">
      <c r="A162" s="138"/>
      <c r="B162" s="138"/>
      <c r="C162" s="153"/>
      <c r="D162" s="153"/>
      <c r="E162" s="58" t="s">
        <v>527</v>
      </c>
      <c r="F162" s="58">
        <v>89726</v>
      </c>
      <c r="G162" s="58" t="s">
        <v>26</v>
      </c>
      <c r="H162" s="59" t="s">
        <v>526</v>
      </c>
      <c r="I162" s="58" t="s">
        <v>24</v>
      </c>
      <c r="J162" s="57">
        <f>VLOOKUP(F162,'[1]Planilha Orçamentária'!B162:J539,5,FALSE)</f>
        <v>7</v>
      </c>
      <c r="K162" s="56">
        <f>VLOOKUP(F162,'[1]Planilha Orçamentária'!B163:J539,7,FALSE)*$K$1</f>
        <v>12.271493999999999</v>
      </c>
      <c r="L162" s="55">
        <f>K162*J162</f>
        <v>85.900457999999986</v>
      </c>
      <c r="M162" s="54">
        <f>L162/$O$8</f>
        <v>5.1329232402490924E-5</v>
      </c>
      <c r="N162" s="131"/>
      <c r="O162" s="52"/>
      <c r="P162" s="51">
        <v>7</v>
      </c>
      <c r="Q162" s="50">
        <v>13.07</v>
      </c>
      <c r="R162" s="49">
        <v>91.49</v>
      </c>
      <c r="S162" s="163">
        <v>112.04780299999999</v>
      </c>
      <c r="T162" s="82">
        <v>0</v>
      </c>
      <c r="U162" s="44">
        <f>T162*K162</f>
        <v>0</v>
      </c>
      <c r="V162" s="81"/>
      <c r="W162" s="82">
        <f>T162</f>
        <v>0</v>
      </c>
      <c r="X162" s="44">
        <f>U162</f>
        <v>0</v>
      </c>
      <c r="Y162" s="81"/>
      <c r="Z162" s="82">
        <f>T162-W162</f>
        <v>0</v>
      </c>
      <c r="AA162" s="44">
        <f>L162-X162</f>
        <v>85.900457999999986</v>
      </c>
      <c r="AB162" s="81"/>
    </row>
    <row r="163" spans="1:28" ht="25.5">
      <c r="A163" s="138"/>
      <c r="B163" s="138"/>
      <c r="C163" s="153"/>
      <c r="D163" s="153"/>
      <c r="E163" s="58" t="s">
        <v>525</v>
      </c>
      <c r="F163" s="58">
        <v>89748</v>
      </c>
      <c r="G163" s="58" t="s">
        <v>26</v>
      </c>
      <c r="H163" s="59" t="s">
        <v>524</v>
      </c>
      <c r="I163" s="58" t="s">
        <v>24</v>
      </c>
      <c r="J163" s="57">
        <f>VLOOKUP(F163,'[1]Planilha Orçamentária'!B163:J540,5,FALSE)</f>
        <v>1</v>
      </c>
      <c r="K163" s="56">
        <f>VLOOKUP(F163,'[1]Planilha Orçamentária'!B164:J540,7,FALSE)*$K$1</f>
        <v>44.337201749999998</v>
      </c>
      <c r="L163" s="55">
        <f>K163*J163</f>
        <v>44.337201749999998</v>
      </c>
      <c r="M163" s="54">
        <f>L163/$O$8</f>
        <v>2.6493392301841716E-5</v>
      </c>
      <c r="N163" s="131"/>
      <c r="O163" s="52"/>
      <c r="P163" s="51">
        <v>1</v>
      </c>
      <c r="Q163" s="50">
        <v>47.69</v>
      </c>
      <c r="R163" s="49">
        <v>47.69</v>
      </c>
      <c r="S163" s="163">
        <v>58.405942999999994</v>
      </c>
      <c r="T163" s="82">
        <v>0</v>
      </c>
      <c r="U163" s="44">
        <f>T163*K163</f>
        <v>0</v>
      </c>
      <c r="V163" s="81"/>
      <c r="W163" s="82">
        <f>T163</f>
        <v>0</v>
      </c>
      <c r="X163" s="44">
        <f>U163</f>
        <v>0</v>
      </c>
      <c r="Y163" s="81"/>
      <c r="Z163" s="82">
        <f>T163-W163</f>
        <v>0</v>
      </c>
      <c r="AA163" s="44">
        <f>L163-X163</f>
        <v>44.337201749999998</v>
      </c>
      <c r="AB163" s="81"/>
    </row>
    <row r="164" spans="1:28" ht="25.5">
      <c r="A164" s="138"/>
      <c r="B164" s="138"/>
      <c r="C164" s="153"/>
      <c r="D164" s="153"/>
      <c r="E164" s="58" t="s">
        <v>523</v>
      </c>
      <c r="F164" s="58">
        <v>89744</v>
      </c>
      <c r="G164" s="58" t="s">
        <v>26</v>
      </c>
      <c r="H164" s="59" t="s">
        <v>522</v>
      </c>
      <c r="I164" s="58" t="s">
        <v>24</v>
      </c>
      <c r="J164" s="57">
        <f>VLOOKUP(F164,'[1]Planilha Orçamentária'!B164:J541,5,FALSE)</f>
        <v>6</v>
      </c>
      <c r="K164" s="56">
        <f>VLOOKUP(F164,'[1]Planilha Orçamentária'!B165:J541,7,FALSE)*$K$1</f>
        <v>29.310132749999998</v>
      </c>
      <c r="L164" s="55">
        <f>K164*J164</f>
        <v>175.86079649999999</v>
      </c>
      <c r="M164" s="54">
        <f>L164/$O$8</f>
        <v>1.0508441868884638E-4</v>
      </c>
      <c r="N164" s="131"/>
      <c r="O164" s="52"/>
      <c r="P164" s="51">
        <v>6</v>
      </c>
      <c r="Q164" s="50">
        <v>31.42</v>
      </c>
      <c r="R164" s="49">
        <v>188.52</v>
      </c>
      <c r="S164" s="163">
        <v>230.88044399999998</v>
      </c>
      <c r="T164" s="82">
        <v>0</v>
      </c>
      <c r="U164" s="44">
        <f>T164*K164</f>
        <v>0</v>
      </c>
      <c r="V164" s="81"/>
      <c r="W164" s="82">
        <f>T164</f>
        <v>0</v>
      </c>
      <c r="X164" s="44">
        <f>U164</f>
        <v>0</v>
      </c>
      <c r="Y164" s="81"/>
      <c r="Z164" s="82">
        <f>T164-W164</f>
        <v>0</v>
      </c>
      <c r="AA164" s="44">
        <f>L164-X164</f>
        <v>175.86079649999999</v>
      </c>
      <c r="AB164" s="81"/>
    </row>
    <row r="165" spans="1:28" ht="25.5">
      <c r="A165" s="138"/>
      <c r="B165" s="138"/>
      <c r="C165" s="153"/>
      <c r="D165" s="153"/>
      <c r="E165" s="58" t="s">
        <v>521</v>
      </c>
      <c r="F165" s="58">
        <v>89731</v>
      </c>
      <c r="G165" s="58" t="s">
        <v>26</v>
      </c>
      <c r="H165" s="59" t="s">
        <v>520</v>
      </c>
      <c r="I165" s="58" t="s">
        <v>24</v>
      </c>
      <c r="J165" s="57">
        <f>VLOOKUP(F165,'[1]Planilha Orçamentária'!B165:J542,5,FALSE)</f>
        <v>1</v>
      </c>
      <c r="K165" s="56">
        <f>VLOOKUP(F165,'[1]Planilha Orçamentária'!B166:J542,7,FALSE)*$K$1</f>
        <v>16.395671249999999</v>
      </c>
      <c r="L165" s="55">
        <f>K165*J165</f>
        <v>16.395671249999999</v>
      </c>
      <c r="M165" s="54">
        <f>L165/$O$8</f>
        <v>9.7971214540682546E-6</v>
      </c>
      <c r="N165" s="131"/>
      <c r="O165" s="52"/>
      <c r="P165" s="51">
        <v>1</v>
      </c>
      <c r="Q165" s="50">
        <v>17.54</v>
      </c>
      <c r="R165" s="49">
        <v>17.54</v>
      </c>
      <c r="S165" s="163">
        <v>21.481237999999998</v>
      </c>
      <c r="T165" s="82">
        <v>0</v>
      </c>
      <c r="U165" s="44">
        <f>T165*K165</f>
        <v>0</v>
      </c>
      <c r="V165" s="81"/>
      <c r="W165" s="82">
        <f>T165</f>
        <v>0</v>
      </c>
      <c r="X165" s="44">
        <f>U165</f>
        <v>0</v>
      </c>
      <c r="Y165" s="81"/>
      <c r="Z165" s="82">
        <f>T165-W165</f>
        <v>0</v>
      </c>
      <c r="AA165" s="44">
        <f>L165-X165</f>
        <v>16.395671249999999</v>
      </c>
      <c r="AB165" s="81"/>
    </row>
    <row r="166" spans="1:28" ht="25.5">
      <c r="A166" s="138"/>
      <c r="B166" s="138"/>
      <c r="C166" s="153"/>
      <c r="D166" s="153"/>
      <c r="E166" s="58" t="s">
        <v>519</v>
      </c>
      <c r="F166" s="58">
        <v>89728</v>
      </c>
      <c r="G166" s="58" t="s">
        <v>26</v>
      </c>
      <c r="H166" s="59" t="s">
        <v>518</v>
      </c>
      <c r="I166" s="58" t="s">
        <v>24</v>
      </c>
      <c r="J166" s="57">
        <f>VLOOKUP(F166,'[1]Planilha Orçamentária'!B166:J543,5,FALSE)</f>
        <v>11</v>
      </c>
      <c r="K166" s="56">
        <f>VLOOKUP(F166,'[1]Planilha Orçamentária'!B167:J543,7,FALSE)*$K$1</f>
        <v>14.962772249999999</v>
      </c>
      <c r="L166" s="55">
        <f>K166*J166</f>
        <v>164.59049474999998</v>
      </c>
      <c r="M166" s="54">
        <f>L166/$O$8</f>
        <v>9.8349926798570888E-5</v>
      </c>
      <c r="N166" s="131"/>
      <c r="O166" s="52"/>
      <c r="P166" s="51">
        <v>11</v>
      </c>
      <c r="Q166" s="50">
        <v>15.97</v>
      </c>
      <c r="R166" s="49">
        <v>175.67</v>
      </c>
      <c r="S166" s="163">
        <v>215.14304899999996</v>
      </c>
      <c r="T166" s="82">
        <v>0</v>
      </c>
      <c r="U166" s="44">
        <f>T166*K166</f>
        <v>0</v>
      </c>
      <c r="V166" s="81"/>
      <c r="W166" s="82">
        <f>T166</f>
        <v>0</v>
      </c>
      <c r="X166" s="44">
        <f>U166</f>
        <v>0</v>
      </c>
      <c r="Y166" s="81"/>
      <c r="Z166" s="82">
        <f>T166-W166</f>
        <v>0</v>
      </c>
      <c r="AA166" s="44">
        <f>L166-X166</f>
        <v>164.59049474999998</v>
      </c>
      <c r="AB166" s="81"/>
    </row>
    <row r="167" spans="1:28" ht="25.5">
      <c r="A167" s="138"/>
      <c r="B167" s="138"/>
      <c r="C167" s="153"/>
      <c r="D167" s="153"/>
      <c r="E167" s="58" t="s">
        <v>517</v>
      </c>
      <c r="F167" s="58">
        <v>89724</v>
      </c>
      <c r="G167" s="58" t="s">
        <v>26</v>
      </c>
      <c r="H167" s="59" t="s">
        <v>516</v>
      </c>
      <c r="I167" s="58" t="s">
        <v>24</v>
      </c>
      <c r="J167" s="57">
        <f>VLOOKUP(F167,'[1]Planilha Orçamentária'!B167:J544,5,FALSE)</f>
        <v>13</v>
      </c>
      <c r="K167" s="56">
        <f>VLOOKUP(F167,'[1]Planilha Orçamentária'!B168:J544,7,FALSE)*$K$1</f>
        <v>12.041862749999998</v>
      </c>
      <c r="L167" s="55">
        <f>K167*J167</f>
        <v>156.54421574999998</v>
      </c>
      <c r="M167" s="54">
        <f>L167/$O$8</f>
        <v>9.3541927698423104E-5</v>
      </c>
      <c r="N167" s="131"/>
      <c r="O167" s="52"/>
      <c r="P167" s="51">
        <v>13</v>
      </c>
      <c r="Q167" s="50">
        <v>12.82</v>
      </c>
      <c r="R167" s="49">
        <v>166.66</v>
      </c>
      <c r="S167" s="163">
        <v>204.10850199999999</v>
      </c>
      <c r="T167" s="82">
        <v>0</v>
      </c>
      <c r="U167" s="44">
        <f>T167*K167</f>
        <v>0</v>
      </c>
      <c r="V167" s="81"/>
      <c r="W167" s="82">
        <f>T167</f>
        <v>0</v>
      </c>
      <c r="X167" s="44">
        <f>U167</f>
        <v>0</v>
      </c>
      <c r="Y167" s="81"/>
      <c r="Z167" s="82">
        <f>T167-W167</f>
        <v>0</v>
      </c>
      <c r="AA167" s="44">
        <f>L167-X167</f>
        <v>156.54421574999998</v>
      </c>
      <c r="AB167" s="81"/>
    </row>
    <row r="168" spans="1:28" ht="38.25">
      <c r="A168" s="138"/>
      <c r="B168" s="138"/>
      <c r="C168" s="153"/>
      <c r="D168" s="153"/>
      <c r="E168" s="58" t="s">
        <v>515</v>
      </c>
      <c r="F168" s="58">
        <v>104345</v>
      </c>
      <c r="G168" s="58" t="s">
        <v>26</v>
      </c>
      <c r="H168" s="59" t="s">
        <v>514</v>
      </c>
      <c r="I168" s="58" t="s">
        <v>24</v>
      </c>
      <c r="J168" s="57">
        <f>VLOOKUP(F168,'[1]Planilha Orçamentária'!B168:J545,5,FALSE)</f>
        <v>9</v>
      </c>
      <c r="K168" s="56">
        <f>VLOOKUP(F168,'[1]Planilha Orçamentária'!B169:J545,7,FALSE)*$K$1</f>
        <v>44.879131499999993</v>
      </c>
      <c r="L168" s="55">
        <f>K168*J168</f>
        <v>403.91218349999991</v>
      </c>
      <c r="M168" s="54">
        <f>L168/$O$8</f>
        <v>2.4135496852728143E-4</v>
      </c>
      <c r="N168" s="131"/>
      <c r="O168" s="52"/>
      <c r="P168" s="51">
        <v>9</v>
      </c>
      <c r="Q168" s="50">
        <v>48.22</v>
      </c>
      <c r="R168" s="49">
        <v>433.98</v>
      </c>
      <c r="S168" s="163">
        <v>531.49530600000003</v>
      </c>
      <c r="T168" s="82">
        <v>0</v>
      </c>
      <c r="U168" s="44">
        <f>T168*K168</f>
        <v>0</v>
      </c>
      <c r="V168" s="81"/>
      <c r="W168" s="82">
        <f>T168</f>
        <v>0</v>
      </c>
      <c r="X168" s="44">
        <f>U168</f>
        <v>0</v>
      </c>
      <c r="Y168" s="81"/>
      <c r="Z168" s="82">
        <f>T168-W168</f>
        <v>0</v>
      </c>
      <c r="AA168" s="44">
        <f>L168-X168</f>
        <v>403.91218349999991</v>
      </c>
      <c r="AB168" s="81"/>
    </row>
    <row r="169" spans="1:28" ht="25.5">
      <c r="A169" s="138"/>
      <c r="B169" s="138"/>
      <c r="C169" s="153"/>
      <c r="D169" s="153"/>
      <c r="E169" s="58" t="s">
        <v>513</v>
      </c>
      <c r="F169" s="58">
        <v>89797</v>
      </c>
      <c r="G169" s="58" t="s">
        <v>26</v>
      </c>
      <c r="H169" s="59" t="s">
        <v>512</v>
      </c>
      <c r="I169" s="58" t="s">
        <v>24</v>
      </c>
      <c r="J169" s="57">
        <f>VLOOKUP(F169,'[1]Planilha Orçamentária'!B169:J546,5,FALSE)</f>
        <v>4</v>
      </c>
      <c r="K169" s="56">
        <f>VLOOKUP(F169,'[1]Planilha Orçamentária'!B170:J546,7,FALSE)*$K$1</f>
        <v>53.448969749999996</v>
      </c>
      <c r="L169" s="55">
        <f>K169*J169</f>
        <v>213.79587899999999</v>
      </c>
      <c r="M169" s="54">
        <f>L169/$O$8</f>
        <v>1.2775226832767097E-4</v>
      </c>
      <c r="N169" s="131"/>
      <c r="O169" s="52"/>
      <c r="P169" s="51">
        <v>4</v>
      </c>
      <c r="Q169" s="50">
        <v>57.48</v>
      </c>
      <c r="R169" s="49">
        <v>229.92</v>
      </c>
      <c r="S169" s="163">
        <v>281.58302399999997</v>
      </c>
      <c r="T169" s="82">
        <v>0</v>
      </c>
      <c r="U169" s="44">
        <f>T169*K169</f>
        <v>0</v>
      </c>
      <c r="V169" s="81"/>
      <c r="W169" s="82">
        <f>T169</f>
        <v>0</v>
      </c>
      <c r="X169" s="44">
        <f>U169</f>
        <v>0</v>
      </c>
      <c r="Y169" s="81"/>
      <c r="Z169" s="82">
        <f>T169-W169</f>
        <v>0</v>
      </c>
      <c r="AA169" s="44">
        <f>L169-X169</f>
        <v>213.79587899999999</v>
      </c>
      <c r="AB169" s="81"/>
    </row>
    <row r="170" spans="1:28" ht="25.5">
      <c r="A170" s="138"/>
      <c r="B170" s="138"/>
      <c r="C170" s="153"/>
      <c r="D170" s="153"/>
      <c r="E170" s="58" t="s">
        <v>511</v>
      </c>
      <c r="F170" s="58">
        <v>89785</v>
      </c>
      <c r="G170" s="58" t="s">
        <v>26</v>
      </c>
      <c r="H170" s="59" t="s">
        <v>510</v>
      </c>
      <c r="I170" s="58" t="s">
        <v>24</v>
      </c>
      <c r="J170" s="57">
        <f>VLOOKUP(F170,'[1]Planilha Orçamentária'!B170:J547,5,FALSE)</f>
        <v>1</v>
      </c>
      <c r="K170" s="56">
        <f>VLOOKUP(F170,'[1]Planilha Orçamentária'!B171:J547,7,FALSE)*$K$1</f>
        <v>28.391607749999999</v>
      </c>
      <c r="L170" s="55">
        <f>K170*J170</f>
        <v>28.391607749999999</v>
      </c>
      <c r="M170" s="54">
        <f>L170/$O$8</f>
        <v>1.6965211436708668E-5</v>
      </c>
      <c r="N170" s="131"/>
      <c r="O170" s="52"/>
      <c r="P170" s="51">
        <v>1</v>
      </c>
      <c r="Q170" s="50">
        <v>30.45</v>
      </c>
      <c r="R170" s="49">
        <v>30.45</v>
      </c>
      <c r="S170" s="163">
        <v>37.292114999999995</v>
      </c>
      <c r="T170" s="82">
        <v>0</v>
      </c>
      <c r="U170" s="44">
        <f>T170*K170</f>
        <v>0</v>
      </c>
      <c r="V170" s="81"/>
      <c r="W170" s="82">
        <f>T170</f>
        <v>0</v>
      </c>
      <c r="X170" s="44">
        <f>U170</f>
        <v>0</v>
      </c>
      <c r="Y170" s="81"/>
      <c r="Z170" s="82">
        <f>T170-W170</f>
        <v>0</v>
      </c>
      <c r="AA170" s="44">
        <f>L170-X170</f>
        <v>28.391607749999999</v>
      </c>
      <c r="AB170" s="81"/>
    </row>
    <row r="171" spans="1:28" ht="25.5">
      <c r="A171" s="138"/>
      <c r="B171" s="138"/>
      <c r="C171" s="153"/>
      <c r="D171" s="153"/>
      <c r="E171" s="58" t="s">
        <v>509</v>
      </c>
      <c r="F171" s="58">
        <v>89783</v>
      </c>
      <c r="G171" s="58" t="s">
        <v>26</v>
      </c>
      <c r="H171" s="59" t="s">
        <v>508</v>
      </c>
      <c r="I171" s="58" t="s">
        <v>24</v>
      </c>
      <c r="J171" s="57">
        <f>VLOOKUP(F171,'[1]Planilha Orçamentária'!B171:J548,5,FALSE)</f>
        <v>1</v>
      </c>
      <c r="K171" s="56">
        <f>VLOOKUP(F171,'[1]Planilha Orçamentária'!B172:J548,7,FALSE)*$K$1</f>
        <v>17.305010999999997</v>
      </c>
      <c r="L171" s="55">
        <f>K171*J171</f>
        <v>17.305010999999997</v>
      </c>
      <c r="M171" s="54">
        <f>L171/$O$8</f>
        <v>1.0340491215386324E-5</v>
      </c>
      <c r="N171" s="131"/>
      <c r="O171" s="52"/>
      <c r="P171" s="51">
        <v>1</v>
      </c>
      <c r="Q171" s="50">
        <v>18.47</v>
      </c>
      <c r="R171" s="49">
        <v>18.47</v>
      </c>
      <c r="S171" s="163">
        <v>22.620208999999996</v>
      </c>
      <c r="T171" s="82">
        <v>0</v>
      </c>
      <c r="U171" s="44">
        <f>T171*K171</f>
        <v>0</v>
      </c>
      <c r="V171" s="81"/>
      <c r="W171" s="82">
        <f>T171</f>
        <v>0</v>
      </c>
      <c r="X171" s="44">
        <f>U171</f>
        <v>0</v>
      </c>
      <c r="Y171" s="81"/>
      <c r="Z171" s="82">
        <f>T171-W171</f>
        <v>0</v>
      </c>
      <c r="AA171" s="44">
        <f>L171-X171</f>
        <v>17.305010999999997</v>
      </c>
      <c r="AB171" s="81"/>
    </row>
    <row r="172" spans="1:28" ht="25.5">
      <c r="A172" s="138"/>
      <c r="B172" s="138"/>
      <c r="C172" s="153"/>
      <c r="D172" s="153"/>
      <c r="E172" s="58" t="s">
        <v>507</v>
      </c>
      <c r="F172" s="58">
        <v>89778</v>
      </c>
      <c r="G172" s="58" t="s">
        <v>26</v>
      </c>
      <c r="H172" s="59" t="s">
        <v>506</v>
      </c>
      <c r="I172" s="58" t="s">
        <v>24</v>
      </c>
      <c r="J172" s="57">
        <f>VLOOKUP(F172,'[1]Planilha Orçamentária'!B172:J549,5,FALSE)</f>
        <v>34</v>
      </c>
      <c r="K172" s="56">
        <f>VLOOKUP(F172,'[1]Planilha Orçamentária'!B173:J549,7,FALSE)*$K$1</f>
        <v>19.307395499999998</v>
      </c>
      <c r="L172" s="55">
        <f>K172*J172</f>
        <v>656.45144699999992</v>
      </c>
      <c r="M172" s="54">
        <f>L172/$O$8</f>
        <v>3.9225808183717081E-4</v>
      </c>
      <c r="N172" s="131"/>
      <c r="O172" s="52"/>
      <c r="P172" s="51">
        <v>34</v>
      </c>
      <c r="Q172" s="50">
        <v>20.7</v>
      </c>
      <c r="R172" s="49">
        <v>703.8</v>
      </c>
      <c r="S172" s="163">
        <v>861.94385999999986</v>
      </c>
      <c r="T172" s="82">
        <v>0</v>
      </c>
      <c r="U172" s="44">
        <f>T172*K172</f>
        <v>0</v>
      </c>
      <c r="V172" s="81"/>
      <c r="W172" s="82">
        <f>T172</f>
        <v>0</v>
      </c>
      <c r="X172" s="44">
        <f>U172</f>
        <v>0</v>
      </c>
      <c r="Y172" s="81"/>
      <c r="Z172" s="82">
        <f>T172-W172</f>
        <v>0</v>
      </c>
      <c r="AA172" s="44">
        <f>L172-X172</f>
        <v>656.45144699999992</v>
      </c>
      <c r="AB172" s="81"/>
    </row>
    <row r="173" spans="1:28" ht="25.5">
      <c r="A173" s="138"/>
      <c r="B173" s="138"/>
      <c r="C173" s="153"/>
      <c r="D173" s="153"/>
      <c r="E173" s="58" t="s">
        <v>505</v>
      </c>
      <c r="F173" s="58">
        <v>89774</v>
      </c>
      <c r="G173" s="58" t="s">
        <v>26</v>
      </c>
      <c r="H173" s="59" t="s">
        <v>504</v>
      </c>
      <c r="I173" s="58" t="s">
        <v>24</v>
      </c>
      <c r="J173" s="57">
        <f>VLOOKUP(F173,'[1]Planilha Orçamentária'!B173:J550,5,FALSE)</f>
        <v>8</v>
      </c>
      <c r="K173" s="56">
        <f>VLOOKUP(F173,'[1]Planilha Orçamentária'!B174:J550,7,FALSE)*$K$1</f>
        <v>16.845748499999999</v>
      </c>
      <c r="L173" s="55">
        <f>K173*J173</f>
        <v>134.76598799999999</v>
      </c>
      <c r="M173" s="54">
        <f>L173/$O$8</f>
        <v>8.0528496344027685E-5</v>
      </c>
      <c r="N173" s="131"/>
      <c r="O173" s="52"/>
      <c r="P173" s="51">
        <v>8</v>
      </c>
      <c r="Q173" s="50">
        <v>18.07</v>
      </c>
      <c r="R173" s="49">
        <v>144.56</v>
      </c>
      <c r="S173" s="163">
        <v>177.042632</v>
      </c>
      <c r="T173" s="82">
        <v>0</v>
      </c>
      <c r="U173" s="44">
        <f>T173*K173</f>
        <v>0</v>
      </c>
      <c r="V173" s="81"/>
      <c r="W173" s="82">
        <f>T173</f>
        <v>0</v>
      </c>
      <c r="X173" s="44">
        <f>U173</f>
        <v>0</v>
      </c>
      <c r="Y173" s="81"/>
      <c r="Z173" s="82">
        <f>T173-W173</f>
        <v>0</v>
      </c>
      <c r="AA173" s="44">
        <f>L173-X173</f>
        <v>134.76598799999999</v>
      </c>
      <c r="AB173" s="81"/>
    </row>
    <row r="174" spans="1:28" ht="25.5">
      <c r="A174" s="138"/>
      <c r="B174" s="138"/>
      <c r="C174" s="153"/>
      <c r="D174" s="153"/>
      <c r="E174" s="58" t="s">
        <v>503</v>
      </c>
      <c r="F174" s="58">
        <v>89753</v>
      </c>
      <c r="G174" s="58" t="s">
        <v>26</v>
      </c>
      <c r="H174" s="59" t="s">
        <v>502</v>
      </c>
      <c r="I174" s="58" t="s">
        <v>24</v>
      </c>
      <c r="J174" s="57">
        <f>VLOOKUP(F174,'[1]Planilha Orçamentária'!B174:J551,5,FALSE)</f>
        <v>27</v>
      </c>
      <c r="K174" s="56">
        <f>VLOOKUP(F174,'[1]Planilha Orçamentária'!B175:J551,7,FALSE)*$K$1</f>
        <v>10.57222275</v>
      </c>
      <c r="L174" s="55">
        <f>K174*J174</f>
        <v>285.45001424999998</v>
      </c>
      <c r="M174" s="54">
        <f>L174/$O$8</f>
        <v>1.7056870780284545E-4</v>
      </c>
      <c r="N174" s="131"/>
      <c r="O174" s="52"/>
      <c r="P174" s="51">
        <v>27</v>
      </c>
      <c r="Q174" s="50">
        <v>11.3</v>
      </c>
      <c r="R174" s="49">
        <v>305.10000000000002</v>
      </c>
      <c r="S174" s="163">
        <v>373.65597000000002</v>
      </c>
      <c r="T174" s="82">
        <v>0</v>
      </c>
      <c r="U174" s="44">
        <f>T174*K174</f>
        <v>0</v>
      </c>
      <c r="V174" s="81"/>
      <c r="W174" s="82">
        <f>T174</f>
        <v>0</v>
      </c>
      <c r="X174" s="44">
        <f>U174</f>
        <v>0</v>
      </c>
      <c r="Y174" s="81"/>
      <c r="Z174" s="82">
        <f>T174-W174</f>
        <v>0</v>
      </c>
      <c r="AA174" s="44">
        <f>L174-X174</f>
        <v>285.45001424999998</v>
      </c>
      <c r="AB174" s="81"/>
    </row>
    <row r="175" spans="1:28" ht="25.5">
      <c r="A175" s="138"/>
      <c r="B175" s="138"/>
      <c r="C175" s="153"/>
      <c r="D175" s="153"/>
      <c r="E175" s="58" t="s">
        <v>501</v>
      </c>
      <c r="F175" s="58">
        <v>89752</v>
      </c>
      <c r="G175" s="58" t="s">
        <v>26</v>
      </c>
      <c r="H175" s="59" t="s">
        <v>500</v>
      </c>
      <c r="I175" s="58" t="s">
        <v>24</v>
      </c>
      <c r="J175" s="57">
        <f>VLOOKUP(F175,'[1]Planilha Orçamentária'!B175:J552,5,FALSE)</f>
        <v>20</v>
      </c>
      <c r="K175" s="56">
        <f>VLOOKUP(F175,'[1]Planilha Orçamentária'!B176:J552,7,FALSE)*$K$1</f>
        <v>8.7719137499999995</v>
      </c>
      <c r="L175" s="55">
        <f>K175*J175</f>
        <v>175.43827499999998</v>
      </c>
      <c r="M175" s="54">
        <f>L175/$O$8</f>
        <v>1.0483194385025414E-4</v>
      </c>
      <c r="N175" s="131"/>
      <c r="O175" s="52"/>
      <c r="P175" s="51">
        <v>20</v>
      </c>
      <c r="Q175" s="50">
        <v>9.3699999999999992</v>
      </c>
      <c r="R175" s="49">
        <v>187.4</v>
      </c>
      <c r="S175" s="163">
        <v>229.50878</v>
      </c>
      <c r="T175" s="82">
        <v>0</v>
      </c>
      <c r="U175" s="44">
        <f>T175*K175</f>
        <v>0</v>
      </c>
      <c r="V175" s="81"/>
      <c r="W175" s="82">
        <f>T175</f>
        <v>0</v>
      </c>
      <c r="X175" s="44">
        <f>U175</f>
        <v>0</v>
      </c>
      <c r="Y175" s="81"/>
      <c r="Z175" s="82">
        <f>T175-W175</f>
        <v>0</v>
      </c>
      <c r="AA175" s="44">
        <f>L175-X175</f>
        <v>175.43827499999998</v>
      </c>
      <c r="AB175" s="81"/>
    </row>
    <row r="176" spans="1:28" ht="25.5">
      <c r="A176" s="138"/>
      <c r="B176" s="138"/>
      <c r="C176" s="153"/>
      <c r="D176" s="153"/>
      <c r="E176" s="58" t="s">
        <v>499</v>
      </c>
      <c r="F176" s="58">
        <v>89549</v>
      </c>
      <c r="G176" s="58" t="s">
        <v>26</v>
      </c>
      <c r="H176" s="59" t="s">
        <v>498</v>
      </c>
      <c r="I176" s="58" t="s">
        <v>24</v>
      </c>
      <c r="J176" s="57">
        <f>VLOOKUP(F176,'[1]Planilha Orçamentária'!B176:J553,5,FALSE)</f>
        <v>1</v>
      </c>
      <c r="K176" s="56">
        <f>VLOOKUP(F176,'[1]Planilha Orçamentária'!B177:J553,7,FALSE)*$K$1</f>
        <v>18.820577249999999</v>
      </c>
      <c r="L176" s="55">
        <f>K176*J176</f>
        <v>18.820577249999999</v>
      </c>
      <c r="M176" s="54">
        <f>L176/$O$8</f>
        <v>1.1246107484249778E-5</v>
      </c>
      <c r="N176" s="131"/>
      <c r="O176" s="52"/>
      <c r="P176" s="51">
        <v>1</v>
      </c>
      <c r="Q176" s="50">
        <v>20.309999999999999</v>
      </c>
      <c r="R176" s="49">
        <v>20.309999999999999</v>
      </c>
      <c r="S176" s="163">
        <v>24.873656999999998</v>
      </c>
      <c r="T176" s="82">
        <v>0</v>
      </c>
      <c r="U176" s="44">
        <f>T176*K176</f>
        <v>0</v>
      </c>
      <c r="V176" s="81"/>
      <c r="W176" s="82">
        <f>T176</f>
        <v>0</v>
      </c>
      <c r="X176" s="44">
        <f>U176</f>
        <v>0</v>
      </c>
      <c r="Y176" s="81"/>
      <c r="Z176" s="82">
        <f>T176-W176</f>
        <v>0</v>
      </c>
      <c r="AA176" s="44">
        <f>L176-X176</f>
        <v>18.820577249999999</v>
      </c>
      <c r="AB176" s="81"/>
    </row>
    <row r="177" spans="1:28" ht="25.5">
      <c r="A177" s="138"/>
      <c r="B177" s="138"/>
      <c r="C177" s="153"/>
      <c r="D177" s="153"/>
      <c r="E177" s="58" t="s">
        <v>497</v>
      </c>
      <c r="F177" s="58">
        <v>89796</v>
      </c>
      <c r="G177" s="58" t="s">
        <v>26</v>
      </c>
      <c r="H177" s="59" t="s">
        <v>496</v>
      </c>
      <c r="I177" s="58" t="s">
        <v>24</v>
      </c>
      <c r="J177" s="57">
        <f>VLOOKUP(F177,'[1]Planilha Orçamentária'!B177:J554,5,FALSE)</f>
        <v>1</v>
      </c>
      <c r="K177" s="56">
        <f>VLOOKUP(F177,'[1]Planilha Orçamentária'!B178:J554,7,FALSE)*$K$1</f>
        <v>45.411875999999992</v>
      </c>
      <c r="L177" s="55">
        <f>K177*J177</f>
        <v>45.411875999999992</v>
      </c>
      <c r="M177" s="54">
        <f>L177/$O$8</f>
        <v>2.7135556565217616E-5</v>
      </c>
      <c r="N177" s="131"/>
      <c r="O177" s="52"/>
      <c r="P177" s="51">
        <v>1</v>
      </c>
      <c r="Q177" s="50">
        <v>48.78</v>
      </c>
      <c r="R177" s="49">
        <v>48.78</v>
      </c>
      <c r="S177" s="163">
        <v>59.740865999999997</v>
      </c>
      <c r="T177" s="82">
        <v>0</v>
      </c>
      <c r="U177" s="44">
        <f>T177*K177</f>
        <v>0</v>
      </c>
      <c r="V177" s="81"/>
      <c r="W177" s="82">
        <f>T177</f>
        <v>0</v>
      </c>
      <c r="X177" s="44">
        <f>U177</f>
        <v>0</v>
      </c>
      <c r="Y177" s="81"/>
      <c r="Z177" s="82">
        <f>T177-W177</f>
        <v>0</v>
      </c>
      <c r="AA177" s="44">
        <f>L177-X177</f>
        <v>45.411875999999992</v>
      </c>
      <c r="AB177" s="81"/>
    </row>
    <row r="178" spans="1:28" ht="26.25" thickBot="1">
      <c r="A178" s="137"/>
      <c r="B178" s="137"/>
      <c r="C178" s="148"/>
      <c r="D178" s="148"/>
      <c r="E178" s="39" t="s">
        <v>495</v>
      </c>
      <c r="F178" s="39">
        <v>104344</v>
      </c>
      <c r="G178" s="39" t="s">
        <v>26</v>
      </c>
      <c r="H178" s="40" t="s">
        <v>494</v>
      </c>
      <c r="I178" s="39" t="s">
        <v>24</v>
      </c>
      <c r="J178" s="38">
        <f>VLOOKUP(F178,'[1]Planilha Orçamentária'!B178:J555,5,FALSE)</f>
        <v>1</v>
      </c>
      <c r="K178" s="37">
        <f>VLOOKUP(F178,'[1]Planilha Orçamentária'!B179:J555,7,FALSE)*$K$1</f>
        <v>42.803265000000003</v>
      </c>
      <c r="L178" s="36">
        <f>K178*J178</f>
        <v>42.803265000000003</v>
      </c>
      <c r="M178" s="35">
        <f>L178/$O$8</f>
        <v>2.5576798866082952E-5</v>
      </c>
      <c r="N178" s="128"/>
      <c r="O178" s="33"/>
      <c r="P178" s="51">
        <v>1</v>
      </c>
      <c r="Q178" s="50">
        <v>45.98</v>
      </c>
      <c r="R178" s="49">
        <v>45.98</v>
      </c>
      <c r="S178" s="163">
        <v>56.311705999999994</v>
      </c>
      <c r="T178" s="27">
        <v>0</v>
      </c>
      <c r="U178" s="26">
        <f>T178*K178</f>
        <v>0</v>
      </c>
      <c r="V178" s="102"/>
      <c r="W178" s="27">
        <f>T178</f>
        <v>0</v>
      </c>
      <c r="X178" s="26">
        <f>U178</f>
        <v>0</v>
      </c>
      <c r="Y178" s="102"/>
      <c r="Z178" s="27">
        <f>T178-W178</f>
        <v>0</v>
      </c>
      <c r="AA178" s="26">
        <f>L178-X178</f>
        <v>42.803265000000003</v>
      </c>
      <c r="AB178" s="102"/>
    </row>
    <row r="179" spans="1:28" ht="25.5">
      <c r="A179" s="80" t="s">
        <v>493</v>
      </c>
      <c r="B179" s="80">
        <v>6</v>
      </c>
      <c r="C179" s="79" t="s">
        <v>492</v>
      </c>
      <c r="D179" s="79" t="s">
        <v>491</v>
      </c>
      <c r="E179" s="77" t="s">
        <v>490</v>
      </c>
      <c r="F179" s="77">
        <v>104166</v>
      </c>
      <c r="G179" s="77" t="s">
        <v>26</v>
      </c>
      <c r="H179" s="78" t="s">
        <v>489</v>
      </c>
      <c r="I179" s="77" t="s">
        <v>88</v>
      </c>
      <c r="J179" s="76">
        <f>VLOOKUP(F179,'[1]Planilha Orçamentária'!B179:J556,5,FALSE)</f>
        <v>16.559999999999999</v>
      </c>
      <c r="K179" s="75">
        <f>VLOOKUP(F179,'[1]Planilha Orçamentária'!B180:J556,7,FALSE)*$K$1</f>
        <v>77.872549499999991</v>
      </c>
      <c r="L179" s="74">
        <f>K179*J179</f>
        <v>1289.5694197199998</v>
      </c>
      <c r="M179" s="73">
        <f>L179/$O$8</f>
        <v>7.7057340537058886E-4</v>
      </c>
      <c r="N179" s="134">
        <f>SUM(L179:L199)</f>
        <v>17859.265702155004</v>
      </c>
      <c r="O179" s="71">
        <f>N179/$O$8</f>
        <v>1.0671682329839843E-2</v>
      </c>
      <c r="P179" s="51">
        <v>16.559999999999999</v>
      </c>
      <c r="Q179" s="50">
        <v>83.84</v>
      </c>
      <c r="R179" s="49">
        <v>1388.39</v>
      </c>
      <c r="S179" s="48">
        <v>1700.3612330000001</v>
      </c>
      <c r="T179" s="82">
        <v>0</v>
      </c>
      <c r="U179" s="44">
        <f>T179*K179</f>
        <v>0</v>
      </c>
      <c r="V179" s="62">
        <f>SUM(U179:U199)</f>
        <v>0</v>
      </c>
      <c r="W179" s="82">
        <f>T179</f>
        <v>0</v>
      </c>
      <c r="X179" s="44">
        <f>U179</f>
        <v>0</v>
      </c>
      <c r="Y179" s="62">
        <f>SUM(X179:X199)</f>
        <v>0</v>
      </c>
      <c r="Z179" s="82">
        <f>T179-W179</f>
        <v>0</v>
      </c>
      <c r="AA179" s="44">
        <f>L179-X179</f>
        <v>1289.5694197199998</v>
      </c>
      <c r="AB179" s="62">
        <f>SUM(AA179:AA199)</f>
        <v>17859.265702155004</v>
      </c>
    </row>
    <row r="180" spans="1:28" ht="25.5">
      <c r="A180" s="61"/>
      <c r="B180" s="61"/>
      <c r="C180" s="60"/>
      <c r="D180" s="60"/>
      <c r="E180" s="58" t="s">
        <v>488</v>
      </c>
      <c r="F180" s="58">
        <v>89512</v>
      </c>
      <c r="G180" s="58" t="s">
        <v>26</v>
      </c>
      <c r="H180" s="59" t="s">
        <v>487</v>
      </c>
      <c r="I180" s="58" t="s">
        <v>88</v>
      </c>
      <c r="J180" s="57">
        <f>VLOOKUP(F180,'[1]Planilha Orçamentária'!B180:J557,5,FALSE)</f>
        <v>66.239999999999995</v>
      </c>
      <c r="K180" s="56">
        <f>VLOOKUP(F180,'[1]Planilha Orçamentária'!B181:J557,7,FALSE)*$K$1</f>
        <v>55.175796749999996</v>
      </c>
      <c r="L180" s="55">
        <f>K180*J180</f>
        <v>3654.8447767199996</v>
      </c>
      <c r="M180" s="54">
        <f>L180/$O$8</f>
        <v>2.1839275518099211E-3</v>
      </c>
      <c r="N180" s="131"/>
      <c r="O180" s="52"/>
      <c r="P180" s="51">
        <v>66.239999999999995</v>
      </c>
      <c r="Q180" s="50">
        <v>59.04</v>
      </c>
      <c r="R180" s="49">
        <v>3910.8</v>
      </c>
      <c r="S180" s="48">
        <v>4789.5567599999995</v>
      </c>
      <c r="T180" s="82">
        <v>0</v>
      </c>
      <c r="U180" s="44">
        <f>T180*K180</f>
        <v>0</v>
      </c>
      <c r="V180" s="43"/>
      <c r="W180" s="82">
        <f>T180</f>
        <v>0</v>
      </c>
      <c r="X180" s="44">
        <f>U180</f>
        <v>0</v>
      </c>
      <c r="Y180" s="43"/>
      <c r="Z180" s="82">
        <f>T180-W180</f>
        <v>0</v>
      </c>
      <c r="AA180" s="44">
        <f>L180-X180</f>
        <v>3654.8447767199996</v>
      </c>
      <c r="AB180" s="43"/>
    </row>
    <row r="181" spans="1:28" ht="25.5">
      <c r="A181" s="61"/>
      <c r="B181" s="61"/>
      <c r="C181" s="60"/>
      <c r="D181" s="60"/>
      <c r="E181" s="58" t="s">
        <v>486</v>
      </c>
      <c r="F181" s="58">
        <v>89511</v>
      </c>
      <c r="G181" s="58" t="s">
        <v>26</v>
      </c>
      <c r="H181" s="59" t="s">
        <v>485</v>
      </c>
      <c r="I181" s="58" t="s">
        <v>88</v>
      </c>
      <c r="J181" s="57">
        <f>VLOOKUP(F181,'[1]Planilha Orçamentária'!B181:J558,5,FALSE)</f>
        <v>8.6199999999999992</v>
      </c>
      <c r="K181" s="56">
        <f>VLOOKUP(F181,'[1]Planilha Orçamentária'!B182:J558,7,FALSE)*$K$1</f>
        <v>43.152304499999993</v>
      </c>
      <c r="L181" s="55">
        <f>K181*J181</f>
        <v>371.9728647899999</v>
      </c>
      <c r="M181" s="54">
        <f>L181/$O$8</f>
        <v>2.222698466197496E-4</v>
      </c>
      <c r="N181" s="131"/>
      <c r="O181" s="52"/>
      <c r="P181" s="51">
        <v>8.6199999999999992</v>
      </c>
      <c r="Q181" s="50">
        <v>46.18</v>
      </c>
      <c r="R181" s="49">
        <v>398.07</v>
      </c>
      <c r="S181" s="48">
        <v>487.51632899999993</v>
      </c>
      <c r="T181" s="82">
        <v>0</v>
      </c>
      <c r="U181" s="44">
        <f>T181*K181</f>
        <v>0</v>
      </c>
      <c r="V181" s="43"/>
      <c r="W181" s="82">
        <f>T181</f>
        <v>0</v>
      </c>
      <c r="X181" s="44">
        <f>U181</f>
        <v>0</v>
      </c>
      <c r="Y181" s="43"/>
      <c r="Z181" s="82">
        <f>T181-W181</f>
        <v>0</v>
      </c>
      <c r="AA181" s="44">
        <f>L181-X181</f>
        <v>371.9728647899999</v>
      </c>
      <c r="AB181" s="43"/>
    </row>
    <row r="182" spans="1:28" ht="25.5">
      <c r="A182" s="61"/>
      <c r="B182" s="61"/>
      <c r="C182" s="60"/>
      <c r="D182" s="60"/>
      <c r="E182" s="58" t="s">
        <v>484</v>
      </c>
      <c r="F182" s="58">
        <v>104316</v>
      </c>
      <c r="G182" s="58" t="s">
        <v>26</v>
      </c>
      <c r="H182" s="59" t="s">
        <v>483</v>
      </c>
      <c r="I182" s="58" t="s">
        <v>88</v>
      </c>
      <c r="J182" s="57">
        <f>VLOOKUP(F182,'[1]Planilha Orçamentária'!B182:J559,5,FALSE)</f>
        <v>48.3</v>
      </c>
      <c r="K182" s="56">
        <f>VLOOKUP(F182,'[1]Planilha Orçamentária'!B183:J559,7,FALSE)*$K$1</f>
        <v>27.436341749999997</v>
      </c>
      <c r="L182" s="55">
        <f>K182*J182</f>
        <v>1325.1753065249998</v>
      </c>
      <c r="M182" s="54">
        <f>L182/$O$8</f>
        <v>7.9184946001875655E-4</v>
      </c>
      <c r="N182" s="131"/>
      <c r="O182" s="52"/>
      <c r="P182" s="51">
        <v>48.3</v>
      </c>
      <c r="Q182" s="50">
        <v>28.53</v>
      </c>
      <c r="R182" s="49">
        <v>1377.99</v>
      </c>
      <c r="S182" s="48">
        <v>1687.6243529999999</v>
      </c>
      <c r="T182" s="82">
        <v>0</v>
      </c>
      <c r="U182" s="44">
        <f>T182*K182</f>
        <v>0</v>
      </c>
      <c r="V182" s="43"/>
      <c r="W182" s="82">
        <f>T182</f>
        <v>0</v>
      </c>
      <c r="X182" s="44">
        <f>U182</f>
        <v>0</v>
      </c>
      <c r="Y182" s="43"/>
      <c r="Z182" s="82">
        <f>T182-W182</f>
        <v>0</v>
      </c>
      <c r="AA182" s="44">
        <f>L182-X182</f>
        <v>1325.1753065249998</v>
      </c>
      <c r="AB182" s="43"/>
    </row>
    <row r="183" spans="1:28" ht="25.5">
      <c r="A183" s="61"/>
      <c r="B183" s="61"/>
      <c r="C183" s="60"/>
      <c r="D183" s="60"/>
      <c r="E183" s="58" t="s">
        <v>482</v>
      </c>
      <c r="F183" s="58">
        <v>104168</v>
      </c>
      <c r="G183" s="58" t="s">
        <v>26</v>
      </c>
      <c r="H183" s="59" t="s">
        <v>481</v>
      </c>
      <c r="I183" s="58" t="s">
        <v>24</v>
      </c>
      <c r="J183" s="57">
        <f>VLOOKUP(F183,'[1]Planilha Orçamentária'!B183:J560,5,FALSE)</f>
        <v>1</v>
      </c>
      <c r="K183" s="56">
        <f>VLOOKUP(F183,'[1]Planilha Orçamentária'!B184:J560,7,FALSE)*$K$1</f>
        <v>117.82838700000001</v>
      </c>
      <c r="L183" s="55">
        <f>K183*J183</f>
        <v>117.82838700000001</v>
      </c>
      <c r="M183" s="54">
        <f>L183/$O$8</f>
        <v>7.0407548466547656E-5</v>
      </c>
      <c r="N183" s="131"/>
      <c r="O183" s="52"/>
      <c r="P183" s="51">
        <v>1</v>
      </c>
      <c r="Q183" s="50">
        <v>127.15</v>
      </c>
      <c r="R183" s="49">
        <v>127.15</v>
      </c>
      <c r="S183" s="48">
        <v>155.72060500000001</v>
      </c>
      <c r="T183" s="82">
        <v>0</v>
      </c>
      <c r="U183" s="44">
        <f>T183*K183</f>
        <v>0</v>
      </c>
      <c r="V183" s="43"/>
      <c r="W183" s="82">
        <f>T183</f>
        <v>0</v>
      </c>
      <c r="X183" s="44">
        <f>U183</f>
        <v>0</v>
      </c>
      <c r="Y183" s="43"/>
      <c r="Z183" s="82">
        <f>T183-W183</f>
        <v>0</v>
      </c>
      <c r="AA183" s="44">
        <f>L183-X183</f>
        <v>117.82838700000001</v>
      </c>
      <c r="AB183" s="43"/>
    </row>
    <row r="184" spans="1:28" ht="25.5">
      <c r="A184" s="61"/>
      <c r="B184" s="61"/>
      <c r="C184" s="60"/>
      <c r="D184" s="60"/>
      <c r="E184" s="58" t="s">
        <v>480</v>
      </c>
      <c r="F184" s="58">
        <v>89531</v>
      </c>
      <c r="G184" s="58" t="s">
        <v>26</v>
      </c>
      <c r="H184" s="59" t="s">
        <v>479</v>
      </c>
      <c r="I184" s="58" t="s">
        <v>24</v>
      </c>
      <c r="J184" s="57">
        <f>VLOOKUP(F184,'[1]Planilha Orçamentária'!B184:J561,5,FALSE)</f>
        <v>8</v>
      </c>
      <c r="K184" s="56">
        <f>VLOOKUP(F184,'[1]Planilha Orçamentária'!B185:J561,7,FALSE)*$K$1</f>
        <v>38.274936750000002</v>
      </c>
      <c r="L184" s="55">
        <f>K184*J184</f>
        <v>306.19949400000002</v>
      </c>
      <c r="M184" s="54">
        <f>L184/$O$8</f>
        <v>1.8296741781110329E-4</v>
      </c>
      <c r="N184" s="131"/>
      <c r="O184" s="52"/>
      <c r="P184" s="51">
        <v>8</v>
      </c>
      <c r="Q184" s="50">
        <v>41.24</v>
      </c>
      <c r="R184" s="49">
        <v>329.92</v>
      </c>
      <c r="S184" s="48">
        <v>404.05302399999999</v>
      </c>
      <c r="T184" s="82">
        <v>0</v>
      </c>
      <c r="U184" s="44">
        <f>T184*K184</f>
        <v>0</v>
      </c>
      <c r="V184" s="43"/>
      <c r="W184" s="82">
        <f>T184</f>
        <v>0</v>
      </c>
      <c r="X184" s="44">
        <f>U184</f>
        <v>0</v>
      </c>
      <c r="Y184" s="43"/>
      <c r="Z184" s="82">
        <f>T184-W184</f>
        <v>0</v>
      </c>
      <c r="AA184" s="44">
        <f>L184-X184</f>
        <v>306.19949400000002</v>
      </c>
      <c r="AB184" s="43"/>
    </row>
    <row r="185" spans="1:28" ht="25.5">
      <c r="A185" s="61"/>
      <c r="B185" s="61"/>
      <c r="C185" s="60"/>
      <c r="D185" s="60"/>
      <c r="E185" s="58" t="s">
        <v>478</v>
      </c>
      <c r="F185" s="58">
        <v>89524</v>
      </c>
      <c r="G185" s="58" t="s">
        <v>26</v>
      </c>
      <c r="H185" s="59" t="s">
        <v>477</v>
      </c>
      <c r="I185" s="58" t="s">
        <v>24</v>
      </c>
      <c r="J185" s="57">
        <f>VLOOKUP(F185,'[1]Planilha Orçamentária'!B185:J562,5,FALSE)</f>
        <v>4</v>
      </c>
      <c r="K185" s="56">
        <f>VLOOKUP(F185,'[1]Planilha Orçamentária'!B186:J562,7,FALSE)*$K$1</f>
        <v>30.3296955</v>
      </c>
      <c r="L185" s="55">
        <f>K185*J185</f>
        <v>121.318782</v>
      </c>
      <c r="M185" s="54">
        <f>L185/$O$8</f>
        <v>7.2493210176657422E-5</v>
      </c>
      <c r="N185" s="131"/>
      <c r="O185" s="52"/>
      <c r="P185" s="51">
        <v>4</v>
      </c>
      <c r="Q185" s="50">
        <v>32.68</v>
      </c>
      <c r="R185" s="49">
        <v>130.72</v>
      </c>
      <c r="S185" s="48">
        <v>160.09278399999999</v>
      </c>
      <c r="T185" s="82">
        <v>0</v>
      </c>
      <c r="U185" s="44">
        <f>T185*K185</f>
        <v>0</v>
      </c>
      <c r="V185" s="43"/>
      <c r="W185" s="82">
        <f>T185</f>
        <v>0</v>
      </c>
      <c r="X185" s="44">
        <f>U185</f>
        <v>0</v>
      </c>
      <c r="Y185" s="43"/>
      <c r="Z185" s="82">
        <f>T185-W185</f>
        <v>0</v>
      </c>
      <c r="AA185" s="44">
        <f>L185-X185</f>
        <v>121.318782</v>
      </c>
      <c r="AB185" s="43"/>
    </row>
    <row r="186" spans="1:28" ht="25.5">
      <c r="A186" s="61"/>
      <c r="B186" s="61"/>
      <c r="C186" s="60"/>
      <c r="D186" s="60"/>
      <c r="E186" s="58" t="s">
        <v>476</v>
      </c>
      <c r="F186" s="58">
        <v>95694</v>
      </c>
      <c r="G186" s="58" t="s">
        <v>26</v>
      </c>
      <c r="H186" s="59" t="s">
        <v>475</v>
      </c>
      <c r="I186" s="58" t="s">
        <v>24</v>
      </c>
      <c r="J186" s="57">
        <f>VLOOKUP(F186,'[1]Planilha Orçamentária'!B186:J563,5,FALSE)</f>
        <v>13</v>
      </c>
      <c r="K186" s="56">
        <f>VLOOKUP(F186,'[1]Planilha Orçamentária'!B187:J563,7,FALSE)*$K$1</f>
        <v>53.329561499999997</v>
      </c>
      <c r="L186" s="55">
        <f>K186*J186</f>
        <v>693.28429949999997</v>
      </c>
      <c r="M186" s="54">
        <f>L186/$O$8</f>
        <v>4.1426730146227659E-4</v>
      </c>
      <c r="N186" s="131"/>
      <c r="O186" s="52"/>
      <c r="P186" s="51">
        <v>13</v>
      </c>
      <c r="Q186" s="50">
        <v>57.53</v>
      </c>
      <c r="R186" s="49">
        <v>747.89</v>
      </c>
      <c r="S186" s="48">
        <v>915.94088299999987</v>
      </c>
      <c r="T186" s="82">
        <v>0</v>
      </c>
      <c r="U186" s="44">
        <f>T186*K186</f>
        <v>0</v>
      </c>
      <c r="V186" s="43"/>
      <c r="W186" s="82">
        <f>T186</f>
        <v>0</v>
      </c>
      <c r="X186" s="44">
        <f>U186</f>
        <v>0</v>
      </c>
      <c r="Y186" s="43"/>
      <c r="Z186" s="82">
        <f>T186-W186</f>
        <v>0</v>
      </c>
      <c r="AA186" s="44">
        <f>L186-X186</f>
        <v>693.28429949999997</v>
      </c>
      <c r="AB186" s="43"/>
    </row>
    <row r="187" spans="1:28" ht="25.5">
      <c r="A187" s="61"/>
      <c r="B187" s="61"/>
      <c r="C187" s="60"/>
      <c r="D187" s="60"/>
      <c r="E187" s="58" t="s">
        <v>474</v>
      </c>
      <c r="F187" s="58">
        <v>89522</v>
      </c>
      <c r="G187" s="58" t="s">
        <v>26</v>
      </c>
      <c r="H187" s="59" t="s">
        <v>473</v>
      </c>
      <c r="I187" s="58" t="s">
        <v>24</v>
      </c>
      <c r="J187" s="57">
        <f>VLOOKUP(F187,'[1]Planilha Orçamentária'!B187:J564,5,FALSE)</f>
        <v>1</v>
      </c>
      <c r="K187" s="56">
        <f>VLOOKUP(F187,'[1]Planilha Orçamentária'!B188:J564,7,FALSE)*$K$1</f>
        <v>29.870432999999998</v>
      </c>
      <c r="L187" s="55">
        <f>K187*J187</f>
        <v>29.870432999999998</v>
      </c>
      <c r="M187" s="54">
        <f>L187/$O$8</f>
        <v>1.7848873371781491E-5</v>
      </c>
      <c r="N187" s="131"/>
      <c r="O187" s="52"/>
      <c r="P187" s="51">
        <v>1</v>
      </c>
      <c r="Q187" s="50">
        <v>32.18</v>
      </c>
      <c r="R187" s="49">
        <v>32.18</v>
      </c>
      <c r="S187" s="48">
        <v>39.410845999999999</v>
      </c>
      <c r="T187" s="82">
        <v>0</v>
      </c>
      <c r="U187" s="44">
        <f>T187*K187</f>
        <v>0</v>
      </c>
      <c r="V187" s="43"/>
      <c r="W187" s="82">
        <f>T187</f>
        <v>0</v>
      </c>
      <c r="X187" s="44">
        <f>U187</f>
        <v>0</v>
      </c>
      <c r="Y187" s="43"/>
      <c r="Z187" s="82">
        <f>T187-W187</f>
        <v>0</v>
      </c>
      <c r="AA187" s="44">
        <f>L187-X187</f>
        <v>29.870432999999998</v>
      </c>
      <c r="AB187" s="43"/>
    </row>
    <row r="188" spans="1:28" ht="25.5">
      <c r="A188" s="61"/>
      <c r="B188" s="61"/>
      <c r="C188" s="60"/>
      <c r="D188" s="60"/>
      <c r="E188" s="58" t="s">
        <v>472</v>
      </c>
      <c r="F188" s="58">
        <v>89569</v>
      </c>
      <c r="G188" s="58" t="s">
        <v>26</v>
      </c>
      <c r="H188" s="59" t="s">
        <v>471</v>
      </c>
      <c r="I188" s="58" t="s">
        <v>24</v>
      </c>
      <c r="J188" s="57">
        <f>VLOOKUP(F188,'[1]Planilha Orçamentária'!B188:J565,5,FALSE)</f>
        <v>4</v>
      </c>
      <c r="K188" s="56">
        <f>VLOOKUP(F188,'[1]Planilha Orçamentária'!B189:J565,7,FALSE)*$K$1</f>
        <v>92.467911749999985</v>
      </c>
      <c r="L188" s="55">
        <f>K188*J188</f>
        <v>369.87164699999994</v>
      </c>
      <c r="M188" s="54">
        <f>L188/$O$8</f>
        <v>2.2101427827026353E-4</v>
      </c>
      <c r="N188" s="131"/>
      <c r="O188" s="52"/>
      <c r="P188" s="51">
        <v>4</v>
      </c>
      <c r="Q188" s="50">
        <v>99.84</v>
      </c>
      <c r="R188" s="49">
        <v>399.36</v>
      </c>
      <c r="S188" s="48">
        <v>489.09619199999997</v>
      </c>
      <c r="T188" s="82">
        <v>0</v>
      </c>
      <c r="U188" s="44">
        <f>T188*K188</f>
        <v>0</v>
      </c>
      <c r="V188" s="43"/>
      <c r="W188" s="82">
        <f>T188</f>
        <v>0</v>
      </c>
      <c r="X188" s="44">
        <f>U188</f>
        <v>0</v>
      </c>
      <c r="Y188" s="43"/>
      <c r="Z188" s="82">
        <f>T188-W188</f>
        <v>0</v>
      </c>
      <c r="AA188" s="44">
        <f>L188-X188</f>
        <v>369.87164699999994</v>
      </c>
      <c r="AB188" s="43"/>
    </row>
    <row r="189" spans="1:28" ht="25.5">
      <c r="A189" s="61"/>
      <c r="B189" s="61"/>
      <c r="C189" s="60"/>
      <c r="D189" s="60"/>
      <c r="E189" s="58" t="s">
        <v>470</v>
      </c>
      <c r="F189" s="58">
        <v>89798</v>
      </c>
      <c r="G189" s="58" t="s">
        <v>26</v>
      </c>
      <c r="H189" s="59" t="s">
        <v>469</v>
      </c>
      <c r="I189" s="58" t="s">
        <v>88</v>
      </c>
      <c r="J189" s="57">
        <f>VLOOKUP(F189,'[1]Planilha Orçamentária'!B189:J566,5,FALSE)</f>
        <v>60.95</v>
      </c>
      <c r="K189" s="56">
        <f>VLOOKUP(F189,'[1]Planilha Orçamentária'!B190:J566,7,FALSE)*$K$1</f>
        <v>14.071802999999999</v>
      </c>
      <c r="L189" s="55">
        <f>K189*J189</f>
        <v>857.67639284999996</v>
      </c>
      <c r="M189" s="54">
        <f>L189/$O$8</f>
        <v>5.1249867485837807E-4</v>
      </c>
      <c r="N189" s="131"/>
      <c r="O189" s="52"/>
      <c r="P189" s="51">
        <v>60.95</v>
      </c>
      <c r="Q189" s="50">
        <v>15.16</v>
      </c>
      <c r="R189" s="49">
        <v>924</v>
      </c>
      <c r="S189" s="48">
        <v>1131.6227999999999</v>
      </c>
      <c r="T189" s="82">
        <v>0</v>
      </c>
      <c r="U189" s="44">
        <f>T189*K189</f>
        <v>0</v>
      </c>
      <c r="V189" s="43"/>
      <c r="W189" s="82">
        <f>T189</f>
        <v>0</v>
      </c>
      <c r="X189" s="44">
        <f>U189</f>
        <v>0</v>
      </c>
      <c r="Y189" s="43"/>
      <c r="Z189" s="82">
        <f>T189-W189</f>
        <v>0</v>
      </c>
      <c r="AA189" s="44">
        <f>L189-X189</f>
        <v>857.67639284999996</v>
      </c>
      <c r="AB189" s="43"/>
    </row>
    <row r="190" spans="1:28" ht="25.5">
      <c r="A190" s="61"/>
      <c r="B190" s="61"/>
      <c r="C190" s="60"/>
      <c r="D190" s="60"/>
      <c r="E190" s="58" t="s">
        <v>468</v>
      </c>
      <c r="F190" s="58">
        <v>89801</v>
      </c>
      <c r="G190" s="58" t="s">
        <v>26</v>
      </c>
      <c r="H190" s="59" t="s">
        <v>467</v>
      </c>
      <c r="I190" s="58" t="s">
        <v>24</v>
      </c>
      <c r="J190" s="57">
        <f>VLOOKUP(F190,'[1]Planilha Orçamentária'!B190:J567,5,FALSE)</f>
        <v>13</v>
      </c>
      <c r="K190" s="56">
        <f>VLOOKUP(F190,'[1]Planilha Orçamentária'!B191:J567,7,FALSE)*$K$1</f>
        <v>9.6904387500000002</v>
      </c>
      <c r="L190" s="55">
        <f>K190*J190</f>
        <v>125.97570375000001</v>
      </c>
      <c r="M190" s="54">
        <f>L190/$O$8</f>
        <v>7.5275921984619673E-5</v>
      </c>
      <c r="N190" s="131"/>
      <c r="O190" s="52"/>
      <c r="P190" s="51">
        <v>13</v>
      </c>
      <c r="Q190" s="50">
        <v>10.45</v>
      </c>
      <c r="R190" s="49">
        <v>135.85</v>
      </c>
      <c r="S190" s="48">
        <v>166.37549499999997</v>
      </c>
      <c r="T190" s="82">
        <v>0</v>
      </c>
      <c r="U190" s="44">
        <f>T190*K190</f>
        <v>0</v>
      </c>
      <c r="V190" s="43"/>
      <c r="W190" s="82">
        <f>T190</f>
        <v>0</v>
      </c>
      <c r="X190" s="44">
        <f>U190</f>
        <v>0</v>
      </c>
      <c r="Y190" s="43"/>
      <c r="Z190" s="82">
        <f>T190-W190</f>
        <v>0</v>
      </c>
      <c r="AA190" s="44">
        <f>L190-X190</f>
        <v>125.97570375000001</v>
      </c>
      <c r="AB190" s="43"/>
    </row>
    <row r="191" spans="1:28" ht="25.5">
      <c r="A191" s="61"/>
      <c r="B191" s="61"/>
      <c r="C191" s="60"/>
      <c r="D191" s="60"/>
      <c r="E191" s="58" t="s">
        <v>466</v>
      </c>
      <c r="F191" s="58">
        <v>89802</v>
      </c>
      <c r="G191" s="58" t="s">
        <v>26</v>
      </c>
      <c r="H191" s="59" t="s">
        <v>465</v>
      </c>
      <c r="I191" s="58" t="s">
        <v>24</v>
      </c>
      <c r="J191" s="57">
        <f>VLOOKUP(F191,'[1]Planilha Orçamentária'!B191:J568,5,FALSE)</f>
        <v>12</v>
      </c>
      <c r="K191" s="56">
        <f>VLOOKUP(F191,'[1]Planilha Orçamentária'!B192:J568,7,FALSE)*$K$1</f>
        <v>10.416073499999998</v>
      </c>
      <c r="L191" s="55">
        <f>K191*J191</f>
        <v>124.99288199999998</v>
      </c>
      <c r="M191" s="54">
        <f>L191/$O$8</f>
        <v>7.4688643555720325E-5</v>
      </c>
      <c r="N191" s="131"/>
      <c r="O191" s="52"/>
      <c r="P191" s="51">
        <v>12</v>
      </c>
      <c r="Q191" s="50">
        <v>11.23</v>
      </c>
      <c r="R191" s="49">
        <v>134.76</v>
      </c>
      <c r="S191" s="48">
        <v>165.04057199999997</v>
      </c>
      <c r="T191" s="82">
        <v>0</v>
      </c>
      <c r="U191" s="44">
        <f>T191*K191</f>
        <v>0</v>
      </c>
      <c r="V191" s="43"/>
      <c r="W191" s="82">
        <f>T191</f>
        <v>0</v>
      </c>
      <c r="X191" s="44">
        <f>U191</f>
        <v>0</v>
      </c>
      <c r="Y191" s="43"/>
      <c r="Z191" s="82">
        <f>T191-W191</f>
        <v>0</v>
      </c>
      <c r="AA191" s="44">
        <f>L191-X191</f>
        <v>124.99288199999998</v>
      </c>
      <c r="AB191" s="43"/>
    </row>
    <row r="192" spans="1:28" ht="25.5">
      <c r="A192" s="61"/>
      <c r="B192" s="61"/>
      <c r="C192" s="60"/>
      <c r="D192" s="60"/>
      <c r="E192" s="58" t="s">
        <v>464</v>
      </c>
      <c r="F192" s="58">
        <v>89827</v>
      </c>
      <c r="G192" s="58" t="s">
        <v>26</v>
      </c>
      <c r="H192" s="59" t="s">
        <v>463</v>
      </c>
      <c r="I192" s="58" t="s">
        <v>24</v>
      </c>
      <c r="J192" s="57">
        <f>VLOOKUP(F192,'[1]Planilha Orçamentária'!B192:J569,5,FALSE)</f>
        <v>5</v>
      </c>
      <c r="K192" s="56">
        <f>VLOOKUP(F192,'[1]Planilha Orçamentária'!B193:J569,7,FALSE)*$K$1</f>
        <v>19.445174250000001</v>
      </c>
      <c r="L192" s="55">
        <f>K192*J192</f>
        <v>97.225871250000012</v>
      </c>
      <c r="M192" s="54">
        <f>L192/$O$8</f>
        <v>5.8096655793452373E-5</v>
      </c>
      <c r="N192" s="131"/>
      <c r="O192" s="52"/>
      <c r="P192" s="51">
        <v>5</v>
      </c>
      <c r="Q192" s="50">
        <v>21.01</v>
      </c>
      <c r="R192" s="49">
        <v>105.05</v>
      </c>
      <c r="S192" s="48">
        <v>128.65473499999999</v>
      </c>
      <c r="T192" s="82">
        <v>0</v>
      </c>
      <c r="U192" s="44">
        <f>T192*K192</f>
        <v>0</v>
      </c>
      <c r="V192" s="43"/>
      <c r="W192" s="82">
        <f>T192</f>
        <v>0</v>
      </c>
      <c r="X192" s="44">
        <f>U192</f>
        <v>0</v>
      </c>
      <c r="Y192" s="43"/>
      <c r="Z192" s="82">
        <f>T192-W192</f>
        <v>0</v>
      </c>
      <c r="AA192" s="44">
        <f>L192-X192</f>
        <v>97.225871250000012</v>
      </c>
      <c r="AB192" s="43"/>
    </row>
    <row r="193" spans="1:28" ht="38.25">
      <c r="A193" s="61"/>
      <c r="B193" s="61"/>
      <c r="C193" s="60"/>
      <c r="D193" s="60"/>
      <c r="E193" s="58" t="s">
        <v>462</v>
      </c>
      <c r="F193" s="58">
        <v>104350</v>
      </c>
      <c r="G193" s="58" t="s">
        <v>26</v>
      </c>
      <c r="H193" s="59" t="s">
        <v>461</v>
      </c>
      <c r="I193" s="58" t="s">
        <v>24</v>
      </c>
      <c r="J193" s="57">
        <f>VLOOKUP(F193,'[1]Planilha Orçamentária'!B193:J570,5,FALSE)</f>
        <v>1</v>
      </c>
      <c r="K193" s="56">
        <f>VLOOKUP(F193,'[1]Planilha Orçamentária'!B194:J570,7,FALSE)*$K$1</f>
        <v>30.623623500000001</v>
      </c>
      <c r="L193" s="55">
        <f>K193*J193</f>
        <v>30.623623500000001</v>
      </c>
      <c r="M193" s="54">
        <f>L193/$O$8</f>
        <v>1.8298937214489389E-5</v>
      </c>
      <c r="N193" s="131"/>
      <c r="O193" s="52"/>
      <c r="P193" s="51">
        <v>1</v>
      </c>
      <c r="Q193" s="50">
        <v>32.94</v>
      </c>
      <c r="R193" s="49">
        <v>32.94</v>
      </c>
      <c r="S193" s="48">
        <v>40.341617999999997</v>
      </c>
      <c r="T193" s="82">
        <v>0</v>
      </c>
      <c r="U193" s="44">
        <f>T193*K193</f>
        <v>0</v>
      </c>
      <c r="V193" s="43"/>
      <c r="W193" s="82">
        <f>T193</f>
        <v>0</v>
      </c>
      <c r="X193" s="44">
        <f>U193</f>
        <v>0</v>
      </c>
      <c r="Y193" s="43"/>
      <c r="Z193" s="82">
        <f>T193-W193</f>
        <v>0</v>
      </c>
      <c r="AA193" s="44">
        <f>L193-X193</f>
        <v>30.623623500000001</v>
      </c>
      <c r="AB193" s="43"/>
    </row>
    <row r="194" spans="1:28" ht="25.5">
      <c r="A194" s="61"/>
      <c r="B194" s="61"/>
      <c r="C194" s="60"/>
      <c r="D194" s="60"/>
      <c r="E194" s="58" t="s">
        <v>460</v>
      </c>
      <c r="F194" s="58">
        <v>104348</v>
      </c>
      <c r="G194" s="58" t="s">
        <v>26</v>
      </c>
      <c r="H194" s="59" t="s">
        <v>459</v>
      </c>
      <c r="I194" s="58" t="s">
        <v>24</v>
      </c>
      <c r="J194" s="57">
        <f>VLOOKUP(F194,'[1]Planilha Orçamentária'!B194:J571,5,FALSE)</f>
        <v>10</v>
      </c>
      <c r="K194" s="56">
        <f>VLOOKUP(F194,'[1]Planilha Orçamentária'!B195:J571,7,FALSE)*$K$1</f>
        <v>11.123337749999999</v>
      </c>
      <c r="L194" s="55">
        <f>K194*J194</f>
        <v>111.23337749999999</v>
      </c>
      <c r="M194" s="54">
        <f>L194/$O$8</f>
        <v>6.6466745551129714E-5</v>
      </c>
      <c r="N194" s="131"/>
      <c r="O194" s="52"/>
      <c r="P194" s="51">
        <v>10</v>
      </c>
      <c r="Q194" s="50">
        <v>12.03</v>
      </c>
      <c r="R194" s="49">
        <v>120.3</v>
      </c>
      <c r="S194" s="48">
        <v>147.33140999999998</v>
      </c>
      <c r="T194" s="82">
        <v>0</v>
      </c>
      <c r="U194" s="44">
        <f>T194*K194</f>
        <v>0</v>
      </c>
      <c r="V194" s="43"/>
      <c r="W194" s="82">
        <f>T194</f>
        <v>0</v>
      </c>
      <c r="X194" s="44">
        <f>U194</f>
        <v>0</v>
      </c>
      <c r="Y194" s="43"/>
      <c r="Z194" s="82">
        <f>T194-W194</f>
        <v>0</v>
      </c>
      <c r="AA194" s="44">
        <f>L194-X194</f>
        <v>111.23337749999999</v>
      </c>
      <c r="AB194" s="43"/>
    </row>
    <row r="195" spans="1:28" ht="25.5">
      <c r="A195" s="61"/>
      <c r="B195" s="61"/>
      <c r="C195" s="60"/>
      <c r="D195" s="60"/>
      <c r="E195" s="58" t="s">
        <v>458</v>
      </c>
      <c r="F195" s="58">
        <v>89825</v>
      </c>
      <c r="G195" s="58" t="s">
        <v>26</v>
      </c>
      <c r="H195" s="59" t="s">
        <v>457</v>
      </c>
      <c r="I195" s="58" t="s">
        <v>24</v>
      </c>
      <c r="J195" s="57">
        <f>VLOOKUP(F195,'[1]Planilha Orçamentária'!B195:J572,5,FALSE)</f>
        <v>6</v>
      </c>
      <c r="K195" s="56">
        <f>VLOOKUP(F195,'[1]Planilha Orçamentária'!B196:J572,7,FALSE)*$K$1</f>
        <v>17.093750249999999</v>
      </c>
      <c r="L195" s="55">
        <f>K195*J195</f>
        <v>102.5625015</v>
      </c>
      <c r="M195" s="54">
        <f>L195/$O$8</f>
        <v>6.1285522776541247E-5</v>
      </c>
      <c r="N195" s="131"/>
      <c r="O195" s="52"/>
      <c r="P195" s="51">
        <v>6</v>
      </c>
      <c r="Q195" s="50">
        <v>18.47</v>
      </c>
      <c r="R195" s="49">
        <v>110.82</v>
      </c>
      <c r="S195" s="48">
        <v>135.72125399999999</v>
      </c>
      <c r="T195" s="82">
        <v>0</v>
      </c>
      <c r="U195" s="44">
        <f>T195*K195</f>
        <v>0</v>
      </c>
      <c r="V195" s="43"/>
      <c r="W195" s="82">
        <f>T195</f>
        <v>0</v>
      </c>
      <c r="X195" s="44">
        <f>U195</f>
        <v>0</v>
      </c>
      <c r="Y195" s="43"/>
      <c r="Z195" s="82">
        <f>T195-W195</f>
        <v>0</v>
      </c>
      <c r="AA195" s="44">
        <f>L195-X195</f>
        <v>102.5625015</v>
      </c>
      <c r="AB195" s="43"/>
    </row>
    <row r="196" spans="1:28">
      <c r="A196" s="61"/>
      <c r="B196" s="61"/>
      <c r="C196" s="60"/>
      <c r="D196" s="60"/>
      <c r="E196" s="58" t="s">
        <v>456</v>
      </c>
      <c r="F196" s="58" t="s">
        <v>455</v>
      </c>
      <c r="G196" s="58" t="s">
        <v>33</v>
      </c>
      <c r="H196" s="59" t="s">
        <v>454</v>
      </c>
      <c r="I196" s="58" t="s">
        <v>24</v>
      </c>
      <c r="J196" s="57">
        <f>VLOOKUP(F196,'[1]Planilha Orçamentária'!B196:J573,5,FALSE)</f>
        <v>4</v>
      </c>
      <c r="K196" s="56">
        <f>VLOOKUP(F196,'[1]Planilha Orçamentária'!B197:J573,7,FALSE)*$K$1</f>
        <v>37.595228249999991</v>
      </c>
      <c r="L196" s="55">
        <f>K196*J196</f>
        <v>150.38091299999996</v>
      </c>
      <c r="M196" s="54">
        <f>L196/$O$8</f>
        <v>8.9859088205045056E-5</v>
      </c>
      <c r="N196" s="131"/>
      <c r="O196" s="52"/>
      <c r="P196" s="51">
        <v>4</v>
      </c>
      <c r="Q196" s="50">
        <v>40.159999999999997</v>
      </c>
      <c r="R196" s="49">
        <v>160.63999999999999</v>
      </c>
      <c r="S196" s="48">
        <v>196.73580799999996</v>
      </c>
      <c r="T196" s="82">
        <v>0</v>
      </c>
      <c r="U196" s="44">
        <f>T196*K196</f>
        <v>0</v>
      </c>
      <c r="V196" s="43"/>
      <c r="W196" s="82">
        <f>T196</f>
        <v>0</v>
      </c>
      <c r="X196" s="44">
        <f>U196</f>
        <v>0</v>
      </c>
      <c r="Y196" s="43"/>
      <c r="Z196" s="82">
        <f>T196-W196</f>
        <v>0</v>
      </c>
      <c r="AA196" s="44">
        <f>L196-X196</f>
        <v>150.38091299999996</v>
      </c>
      <c r="AB196" s="43"/>
    </row>
    <row r="197" spans="1:28" ht="25.5">
      <c r="A197" s="61"/>
      <c r="B197" s="61"/>
      <c r="C197" s="60"/>
      <c r="D197" s="60"/>
      <c r="E197" s="58" t="s">
        <v>453</v>
      </c>
      <c r="F197" s="58">
        <v>97953</v>
      </c>
      <c r="G197" s="58" t="s">
        <v>26</v>
      </c>
      <c r="H197" s="59" t="s">
        <v>452</v>
      </c>
      <c r="I197" s="58" t="s">
        <v>24</v>
      </c>
      <c r="J197" s="57">
        <f>VLOOKUP(F197,'[1]Planilha Orçamentária'!B197:J574,5,FALSE)</f>
        <v>5</v>
      </c>
      <c r="K197" s="56">
        <f>VLOOKUP(F197,'[1]Planilha Orçamentária'!B198:J574,7,FALSE)*$K$1</f>
        <v>1502.4037867499999</v>
      </c>
      <c r="L197" s="55">
        <f>K197*J197</f>
        <v>7512.0189337499996</v>
      </c>
      <c r="M197" s="54">
        <f>L197/$O$8</f>
        <v>4.4887556439147961E-3</v>
      </c>
      <c r="N197" s="131"/>
      <c r="O197" s="52"/>
      <c r="P197" s="51">
        <v>5</v>
      </c>
      <c r="Q197" s="50">
        <v>1626</v>
      </c>
      <c r="R197" s="49">
        <v>8130</v>
      </c>
      <c r="S197" s="48">
        <v>9956.8109999999997</v>
      </c>
      <c r="T197" s="82">
        <v>0</v>
      </c>
      <c r="U197" s="44">
        <f>T197*K197</f>
        <v>0</v>
      </c>
      <c r="V197" s="43"/>
      <c r="W197" s="82">
        <f>T197</f>
        <v>0</v>
      </c>
      <c r="X197" s="44">
        <f>U197</f>
        <v>0</v>
      </c>
      <c r="Y197" s="43"/>
      <c r="Z197" s="82">
        <f>T197-W197</f>
        <v>0</v>
      </c>
      <c r="AA197" s="44">
        <f>L197-X197</f>
        <v>7512.0189337499996</v>
      </c>
      <c r="AB197" s="43"/>
    </row>
    <row r="198" spans="1:28" ht="38.25">
      <c r="A198" s="61"/>
      <c r="B198" s="61"/>
      <c r="C198" s="60"/>
      <c r="D198" s="60"/>
      <c r="E198" s="58" t="s">
        <v>451</v>
      </c>
      <c r="F198" s="58">
        <v>91174</v>
      </c>
      <c r="G198" s="58" t="s">
        <v>26</v>
      </c>
      <c r="H198" s="59" t="s">
        <v>450</v>
      </c>
      <c r="I198" s="58" t="s">
        <v>88</v>
      </c>
      <c r="J198" s="57">
        <f>VLOOKUP(F198,'[1]Planilha Orçamentária'!B198:J575,5,FALSE)</f>
        <v>36</v>
      </c>
      <c r="K198" s="56">
        <f>VLOOKUP(F198,'[1]Planilha Orçamentária'!B199:J575,7,FALSE)*$K$1</f>
        <v>7.9911674999999986</v>
      </c>
      <c r="L198" s="55">
        <f>K198*J198</f>
        <v>287.68202999999994</v>
      </c>
      <c r="M198" s="54">
        <f>L198/$O$8</f>
        <v>1.7190243358062614E-4</v>
      </c>
      <c r="N198" s="131"/>
      <c r="O198" s="52"/>
      <c r="P198" s="51">
        <v>36</v>
      </c>
      <c r="Q198" s="50">
        <v>8.7100000000000009</v>
      </c>
      <c r="R198" s="49">
        <v>313.56</v>
      </c>
      <c r="S198" s="48">
        <v>384.016932</v>
      </c>
      <c r="T198" s="82">
        <v>0</v>
      </c>
      <c r="U198" s="44">
        <f>T198*K198</f>
        <v>0</v>
      </c>
      <c r="V198" s="43"/>
      <c r="W198" s="82">
        <f>T198</f>
        <v>0</v>
      </c>
      <c r="X198" s="44">
        <f>U198</f>
        <v>0</v>
      </c>
      <c r="Y198" s="43"/>
      <c r="Z198" s="82">
        <f>T198-W198</f>
        <v>0</v>
      </c>
      <c r="AA198" s="44">
        <f>L198-X198</f>
        <v>287.68202999999994</v>
      </c>
      <c r="AB198" s="43"/>
    </row>
    <row r="199" spans="1:28" ht="39" thickBot="1">
      <c r="A199" s="42"/>
      <c r="B199" s="42"/>
      <c r="C199" s="41"/>
      <c r="D199" s="41"/>
      <c r="E199" s="39" t="s">
        <v>449</v>
      </c>
      <c r="F199" s="39">
        <v>91175</v>
      </c>
      <c r="G199" s="39" t="s">
        <v>26</v>
      </c>
      <c r="H199" s="40" t="s">
        <v>448</v>
      </c>
      <c r="I199" s="39" t="s">
        <v>88</v>
      </c>
      <c r="J199" s="38">
        <f>VLOOKUP(F199,'[1]Planilha Orçamentária'!B199:J576,5,FALSE)</f>
        <v>14.4</v>
      </c>
      <c r="K199" s="37">
        <f>VLOOKUP(F199,'[1]Planilha Orçamentária'!B200:J576,7,FALSE)*$K$1</f>
        <v>12.427643249999997</v>
      </c>
      <c r="L199" s="36">
        <f>K199*J199</f>
        <v>178.95806279999996</v>
      </c>
      <c r="M199" s="35">
        <f>L199/$O$8</f>
        <v>1.069351690273964E-4</v>
      </c>
      <c r="N199" s="128"/>
      <c r="O199" s="33"/>
      <c r="P199" s="51">
        <v>14.4</v>
      </c>
      <c r="Q199" s="50">
        <v>13.54</v>
      </c>
      <c r="R199" s="49">
        <v>194.97</v>
      </c>
      <c r="S199" s="48">
        <v>238.77975899999998</v>
      </c>
      <c r="T199" s="82">
        <v>0</v>
      </c>
      <c r="U199" s="44">
        <f>T199*K199</f>
        <v>0</v>
      </c>
      <c r="V199" s="43"/>
      <c r="W199" s="82">
        <f>T199</f>
        <v>0</v>
      </c>
      <c r="X199" s="44">
        <f>U199</f>
        <v>0</v>
      </c>
      <c r="Y199" s="43"/>
      <c r="Z199" s="82">
        <f>T199-W199</f>
        <v>0</v>
      </c>
      <c r="AA199" s="44">
        <f>L199-X199</f>
        <v>178.95806279999996</v>
      </c>
      <c r="AB199" s="43"/>
    </row>
    <row r="200" spans="1:28" ht="25.5">
      <c r="A200" s="136" t="s">
        <v>447</v>
      </c>
      <c r="B200" s="136">
        <v>6</v>
      </c>
      <c r="C200" s="162" t="s">
        <v>446</v>
      </c>
      <c r="D200" s="162" t="s">
        <v>445</v>
      </c>
      <c r="E200" s="77" t="s">
        <v>444</v>
      </c>
      <c r="F200" s="77">
        <v>103979</v>
      </c>
      <c r="G200" s="77" t="s">
        <v>26</v>
      </c>
      <c r="H200" s="78" t="s">
        <v>443</v>
      </c>
      <c r="I200" s="77" t="s">
        <v>88</v>
      </c>
      <c r="J200" s="76">
        <f>VLOOKUP(F200,'[1]Planilha Orçamentária'!B200:J577,5,FALSE)</f>
        <v>43.7</v>
      </c>
      <c r="K200" s="75">
        <f>VLOOKUP(F200,'[1]Planilha Orçamentária'!B201:J577,7,FALSE)*$K$1</f>
        <v>34.104833249999999</v>
      </c>
      <c r="L200" s="74">
        <f>K200*J200</f>
        <v>1490.3812130250001</v>
      </c>
      <c r="M200" s="73">
        <f>L200/$O$8</f>
        <v>8.9056712190832066E-4</v>
      </c>
      <c r="N200" s="134">
        <f>SUM(L200:L237)</f>
        <v>13430.039961832503</v>
      </c>
      <c r="O200" s="71">
        <f>N200/$O$8</f>
        <v>8.0250287184224448E-3</v>
      </c>
      <c r="P200" s="51">
        <v>43.7</v>
      </c>
      <c r="Q200" s="50">
        <v>35.25</v>
      </c>
      <c r="R200" s="49">
        <v>1540.42</v>
      </c>
      <c r="S200" s="48">
        <v>1886.5523739999999</v>
      </c>
      <c r="T200" s="64">
        <v>0</v>
      </c>
      <c r="U200" s="66">
        <f>T200*K200</f>
        <v>0</v>
      </c>
      <c r="V200" s="161">
        <f>SUM(U200:U230)</f>
        <v>0</v>
      </c>
      <c r="W200" s="160">
        <f>T200</f>
        <v>0</v>
      </c>
      <c r="X200" s="66">
        <f>U200</f>
        <v>0</v>
      </c>
      <c r="Y200" s="159">
        <f>SUM(X200:X230)</f>
        <v>0</v>
      </c>
      <c r="Z200" s="64">
        <f>T200-W200</f>
        <v>0</v>
      </c>
      <c r="AA200" s="63">
        <f>L200-X200</f>
        <v>1490.3812130250001</v>
      </c>
      <c r="AB200" s="158">
        <f>SUM(AA200:AA230)</f>
        <v>10230.150537682499</v>
      </c>
    </row>
    <row r="201" spans="1:28" ht="25.5">
      <c r="A201" s="133"/>
      <c r="B201" s="133"/>
      <c r="C201" s="153"/>
      <c r="D201" s="153"/>
      <c r="E201" s="58" t="s">
        <v>442</v>
      </c>
      <c r="F201" s="58">
        <v>89357</v>
      </c>
      <c r="G201" s="58" t="s">
        <v>26</v>
      </c>
      <c r="H201" s="59" t="s">
        <v>441</v>
      </c>
      <c r="I201" s="58" t="s">
        <v>88</v>
      </c>
      <c r="J201" s="57">
        <f>VLOOKUP(F201,'[1]Planilha Orçamentária'!B201:J578,5,FALSE)</f>
        <v>40.479999999999997</v>
      </c>
      <c r="K201" s="56">
        <f>VLOOKUP(F201,'[1]Planilha Orçamentária'!B202:J578,7,FALSE)*$K$1</f>
        <v>39.230202749999997</v>
      </c>
      <c r="L201" s="55">
        <f>K201*J201</f>
        <v>1588.0386073199998</v>
      </c>
      <c r="M201" s="54">
        <f>L201/$O$8</f>
        <v>9.4892163135214377E-4</v>
      </c>
      <c r="N201" s="131"/>
      <c r="O201" s="52"/>
      <c r="P201" s="51">
        <v>40.479999999999997</v>
      </c>
      <c r="Q201" s="50">
        <v>41.01</v>
      </c>
      <c r="R201" s="49">
        <v>1660.08</v>
      </c>
      <c r="S201" s="48">
        <v>2033.0999759999997</v>
      </c>
      <c r="T201" s="45">
        <v>0</v>
      </c>
      <c r="U201" s="47">
        <f>T201*K201</f>
        <v>0</v>
      </c>
      <c r="V201" s="152"/>
      <c r="W201" s="155">
        <f>T201</f>
        <v>0</v>
      </c>
      <c r="X201" s="47">
        <f>U201</f>
        <v>0</v>
      </c>
      <c r="Y201" s="150"/>
      <c r="Z201" s="45">
        <f>T201-W201</f>
        <v>0</v>
      </c>
      <c r="AA201" s="44">
        <f>L201-X201</f>
        <v>1588.0386073199998</v>
      </c>
      <c r="AB201" s="149"/>
    </row>
    <row r="202" spans="1:28" ht="25.5">
      <c r="A202" s="133"/>
      <c r="B202" s="133"/>
      <c r="C202" s="153"/>
      <c r="D202" s="153"/>
      <c r="E202" s="58" t="s">
        <v>440</v>
      </c>
      <c r="F202" s="58">
        <v>89356</v>
      </c>
      <c r="G202" s="58" t="s">
        <v>26</v>
      </c>
      <c r="H202" s="59" t="s">
        <v>439</v>
      </c>
      <c r="I202" s="58" t="s">
        <v>88</v>
      </c>
      <c r="J202" s="57">
        <f>VLOOKUP(F202,'[1]Planilha Orçamentária'!B202:J579,5,FALSE)</f>
        <v>77.510000000000005</v>
      </c>
      <c r="K202" s="56">
        <f>VLOOKUP(F202,'[1]Planilha Orçamentária'!B203:J579,7,FALSE)*$K$1</f>
        <v>29.255021250000002</v>
      </c>
      <c r="L202" s="55">
        <f>K202*J202</f>
        <v>2267.5566970875002</v>
      </c>
      <c r="M202" s="54">
        <f>L202/$O$8</f>
        <v>1.3549630281439132E-3</v>
      </c>
      <c r="N202" s="131"/>
      <c r="O202" s="52"/>
      <c r="P202" s="51">
        <v>77.510000000000005</v>
      </c>
      <c r="Q202" s="50">
        <v>30.72</v>
      </c>
      <c r="R202" s="49">
        <v>2381.1</v>
      </c>
      <c r="S202" s="48">
        <v>2916.1331699999996</v>
      </c>
      <c r="T202" s="82">
        <v>0</v>
      </c>
      <c r="U202" s="44">
        <f>T202*K202</f>
        <v>0</v>
      </c>
      <c r="V202" s="152"/>
      <c r="W202" s="151">
        <f>T202</f>
        <v>0</v>
      </c>
      <c r="X202" s="44">
        <f>U202</f>
        <v>0</v>
      </c>
      <c r="Y202" s="150"/>
      <c r="Z202" s="82">
        <f>T202-W202</f>
        <v>0</v>
      </c>
      <c r="AA202" s="44">
        <f>L202-X202</f>
        <v>2267.5566970875002</v>
      </c>
      <c r="AB202" s="149"/>
    </row>
    <row r="203" spans="1:28" ht="25.5">
      <c r="A203" s="133"/>
      <c r="B203" s="133"/>
      <c r="C203" s="153"/>
      <c r="D203" s="153"/>
      <c r="E203" s="58" t="s">
        <v>438</v>
      </c>
      <c r="F203" s="58">
        <v>90371</v>
      </c>
      <c r="G203" s="58" t="s">
        <v>26</v>
      </c>
      <c r="H203" s="59" t="s">
        <v>437</v>
      </c>
      <c r="I203" s="58" t="s">
        <v>24</v>
      </c>
      <c r="J203" s="57">
        <f>VLOOKUP(F203,'[1]Planilha Orçamentária'!B203:J580,5,FALSE)</f>
        <v>2</v>
      </c>
      <c r="K203" s="56">
        <f>VLOOKUP(F203,'[1]Planilha Orçamentária'!B204:J580,7,FALSE)*$K$1</f>
        <v>36.805296749999997</v>
      </c>
      <c r="L203" s="55">
        <f>K203*J203</f>
        <v>73.610593499999993</v>
      </c>
      <c r="M203" s="54">
        <f>L203/$O$8</f>
        <v>4.3985507749525482E-5</v>
      </c>
      <c r="N203" s="131"/>
      <c r="O203" s="52"/>
      <c r="P203" s="51">
        <v>2</v>
      </c>
      <c r="Q203" s="50">
        <v>39.19</v>
      </c>
      <c r="R203" s="49">
        <v>78.38</v>
      </c>
      <c r="S203" s="48">
        <v>95.991985999999983</v>
      </c>
      <c r="T203" s="45">
        <v>0</v>
      </c>
      <c r="U203" s="47">
        <f>T203*K203</f>
        <v>0</v>
      </c>
      <c r="V203" s="152"/>
      <c r="W203" s="155">
        <f>T203</f>
        <v>0</v>
      </c>
      <c r="X203" s="47">
        <f>U203</f>
        <v>0</v>
      </c>
      <c r="Y203" s="150"/>
      <c r="Z203" s="45">
        <f>T203-W203</f>
        <v>0</v>
      </c>
      <c r="AA203" s="47">
        <f>L203-X203</f>
        <v>73.610593499999993</v>
      </c>
      <c r="AB203" s="149"/>
    </row>
    <row r="204" spans="1:28" ht="25.5">
      <c r="A204" s="133"/>
      <c r="B204" s="133"/>
      <c r="C204" s="153"/>
      <c r="D204" s="153"/>
      <c r="E204" s="58" t="s">
        <v>436</v>
      </c>
      <c r="F204" s="58">
        <v>94490</v>
      </c>
      <c r="G204" s="58" t="s">
        <v>26</v>
      </c>
      <c r="H204" s="59" t="s">
        <v>435</v>
      </c>
      <c r="I204" s="58" t="s">
        <v>24</v>
      </c>
      <c r="J204" s="57">
        <f>VLOOKUP(F204,'[1]Planilha Orçamentária'!B204:J581,5,FALSE)</f>
        <v>8</v>
      </c>
      <c r="K204" s="56">
        <f>VLOOKUP(F204,'[1]Planilha Orçamentária'!B205:J581,7,FALSE)*$K$1</f>
        <v>54.220530749999995</v>
      </c>
      <c r="L204" s="55">
        <f>K204*J204</f>
        <v>433.76424599999996</v>
      </c>
      <c r="M204" s="54">
        <f>L204/$O$8</f>
        <v>2.5919286473216765E-4</v>
      </c>
      <c r="N204" s="131"/>
      <c r="O204" s="52"/>
      <c r="P204" s="51">
        <v>8</v>
      </c>
      <c r="Q204" s="50">
        <v>57.85</v>
      </c>
      <c r="R204" s="49">
        <v>462.8</v>
      </c>
      <c r="S204" s="48">
        <v>566.79115999999999</v>
      </c>
      <c r="T204" s="156">
        <v>0</v>
      </c>
      <c r="U204" s="154">
        <f>T204*K204</f>
        <v>0</v>
      </c>
      <c r="V204" s="152"/>
      <c r="W204" s="157">
        <f>T204</f>
        <v>0</v>
      </c>
      <c r="X204" s="154">
        <f>U204</f>
        <v>0</v>
      </c>
      <c r="Y204" s="150"/>
      <c r="Z204" s="156">
        <f>T204-W204</f>
        <v>0</v>
      </c>
      <c r="AA204" s="154">
        <f>L204-X204</f>
        <v>433.76424599999996</v>
      </c>
      <c r="AB204" s="149"/>
    </row>
    <row r="205" spans="1:28" ht="25.5">
      <c r="A205" s="133"/>
      <c r="B205" s="133"/>
      <c r="C205" s="153"/>
      <c r="D205" s="153"/>
      <c r="E205" s="58" t="s">
        <v>434</v>
      </c>
      <c r="F205" s="58">
        <v>94492</v>
      </c>
      <c r="G205" s="58" t="s">
        <v>26</v>
      </c>
      <c r="H205" s="59" t="s">
        <v>433</v>
      </c>
      <c r="I205" s="58" t="s">
        <v>24</v>
      </c>
      <c r="J205" s="57">
        <f>VLOOKUP(F205,'[1]Planilha Orçamentária'!B205:J582,5,FALSE)</f>
        <v>5</v>
      </c>
      <c r="K205" s="56">
        <f>VLOOKUP(F205,'[1]Planilha Orçamentária'!B206:J582,7,FALSE)*$K$1</f>
        <v>75.833423999999994</v>
      </c>
      <c r="L205" s="55">
        <f>K205*J205</f>
        <v>379.16711999999995</v>
      </c>
      <c r="M205" s="54">
        <f>L205/$O$8</f>
        <v>2.2656872471929271E-4</v>
      </c>
      <c r="N205" s="131"/>
      <c r="O205" s="52"/>
      <c r="P205" s="51">
        <v>5</v>
      </c>
      <c r="Q205" s="50">
        <v>80.91</v>
      </c>
      <c r="R205" s="49">
        <v>404.55</v>
      </c>
      <c r="S205" s="48">
        <v>495.45238499999999</v>
      </c>
      <c r="T205" s="82">
        <v>0</v>
      </c>
      <c r="U205" s="44">
        <f>T205*K205</f>
        <v>0</v>
      </c>
      <c r="V205" s="152"/>
      <c r="W205" s="151">
        <f>T205</f>
        <v>0</v>
      </c>
      <c r="X205" s="44">
        <f>U205</f>
        <v>0</v>
      </c>
      <c r="Y205" s="150"/>
      <c r="Z205" s="82">
        <f>T205-W205</f>
        <v>0</v>
      </c>
      <c r="AA205" s="44">
        <f>L205-X205</f>
        <v>379.16711999999995</v>
      </c>
      <c r="AB205" s="149"/>
    </row>
    <row r="206" spans="1:28" ht="25.5">
      <c r="A206" s="133"/>
      <c r="B206" s="133"/>
      <c r="C206" s="153"/>
      <c r="D206" s="153"/>
      <c r="E206" s="58" t="s">
        <v>432</v>
      </c>
      <c r="F206" s="58">
        <v>89987</v>
      </c>
      <c r="G206" s="58" t="s">
        <v>26</v>
      </c>
      <c r="H206" s="59" t="s">
        <v>431</v>
      </c>
      <c r="I206" s="58" t="s">
        <v>24</v>
      </c>
      <c r="J206" s="57">
        <f>VLOOKUP(F206,'[1]Planilha Orçamentária'!B206:J583,5,FALSE)</f>
        <v>10</v>
      </c>
      <c r="K206" s="56">
        <f>VLOOKUP(F206,'[1]Planilha Orçamentária'!B207:J583,7,FALSE)*$K$1</f>
        <v>68.586261749999991</v>
      </c>
      <c r="L206" s="55">
        <f>K206*J206</f>
        <v>685.86261749999994</v>
      </c>
      <c r="M206" s="54">
        <f>L206/$O$8</f>
        <v>4.0983252603656945E-4</v>
      </c>
      <c r="N206" s="131"/>
      <c r="O206" s="52"/>
      <c r="P206" s="51">
        <v>10</v>
      </c>
      <c r="Q206" s="50">
        <v>69.790000000000006</v>
      </c>
      <c r="R206" s="49">
        <v>697.9</v>
      </c>
      <c r="S206" s="48">
        <v>854.71812999999986</v>
      </c>
      <c r="T206" s="82">
        <v>0</v>
      </c>
      <c r="U206" s="44">
        <f>T206*K206</f>
        <v>0</v>
      </c>
      <c r="V206" s="152"/>
      <c r="W206" s="151">
        <f>T206</f>
        <v>0</v>
      </c>
      <c r="X206" s="44">
        <f>U206</f>
        <v>0</v>
      </c>
      <c r="Y206" s="150"/>
      <c r="Z206" s="82">
        <f>T206-W206</f>
        <v>0</v>
      </c>
      <c r="AA206" s="44">
        <f>L206-X206</f>
        <v>685.86261749999994</v>
      </c>
      <c r="AB206" s="149"/>
    </row>
    <row r="207" spans="1:28" ht="25.5">
      <c r="A207" s="133"/>
      <c r="B207" s="133"/>
      <c r="C207" s="153"/>
      <c r="D207" s="153"/>
      <c r="E207" s="58" t="s">
        <v>430</v>
      </c>
      <c r="F207" s="58">
        <v>89368</v>
      </c>
      <c r="G207" s="58" t="s">
        <v>26</v>
      </c>
      <c r="H207" s="59" t="s">
        <v>429</v>
      </c>
      <c r="I207" s="58" t="s">
        <v>24</v>
      </c>
      <c r="J207" s="57">
        <f>VLOOKUP(F207,'[1]Planilha Orçamentária'!B207:J584,5,FALSE)</f>
        <v>14</v>
      </c>
      <c r="K207" s="56">
        <f>VLOOKUP(F207,'[1]Planilha Orçamentária'!B208:J584,7,FALSE)*$K$1</f>
        <v>17.461160249999999</v>
      </c>
      <c r="L207" s="55">
        <f>K207*J207</f>
        <v>244.45624349999997</v>
      </c>
      <c r="M207" s="54">
        <f>L207/$O$8</f>
        <v>1.4607315987595097E-4</v>
      </c>
      <c r="N207" s="131"/>
      <c r="O207" s="52"/>
      <c r="P207" s="51">
        <v>14</v>
      </c>
      <c r="Q207" s="50">
        <v>18.3</v>
      </c>
      <c r="R207" s="49">
        <v>256.2</v>
      </c>
      <c r="S207" s="48">
        <v>313.76813999999996</v>
      </c>
      <c r="T207" s="82">
        <v>0</v>
      </c>
      <c r="U207" s="44">
        <f>T207*K207</f>
        <v>0</v>
      </c>
      <c r="V207" s="152"/>
      <c r="W207" s="151">
        <f>T207</f>
        <v>0</v>
      </c>
      <c r="X207" s="44">
        <f>U207</f>
        <v>0</v>
      </c>
      <c r="Y207" s="150"/>
      <c r="Z207" s="82">
        <f>T207-W207</f>
        <v>0</v>
      </c>
      <c r="AA207" s="44">
        <f>L207-X207</f>
        <v>244.45624349999997</v>
      </c>
      <c r="AB207" s="149"/>
    </row>
    <row r="208" spans="1:28" ht="25.5">
      <c r="A208" s="133"/>
      <c r="B208" s="133"/>
      <c r="C208" s="153"/>
      <c r="D208" s="153"/>
      <c r="E208" s="58" t="s">
        <v>428</v>
      </c>
      <c r="F208" s="58">
        <v>104320</v>
      </c>
      <c r="G208" s="58" t="s">
        <v>26</v>
      </c>
      <c r="H208" s="59" t="s">
        <v>427</v>
      </c>
      <c r="I208" s="58" t="s">
        <v>24</v>
      </c>
      <c r="J208" s="57">
        <f>VLOOKUP(F208,'[1]Planilha Orçamentária'!B208:J585,5,FALSE)</f>
        <v>11</v>
      </c>
      <c r="K208" s="56">
        <f>VLOOKUP(F208,'[1]Planilha Orçamentária'!B209:J585,7,FALSE)*$K$1</f>
        <v>13.318612499999999</v>
      </c>
      <c r="L208" s="55">
        <f>K208*J208</f>
        <v>146.50473749999998</v>
      </c>
      <c r="M208" s="54">
        <f>L208/$O$8</f>
        <v>8.7542905990133687E-5</v>
      </c>
      <c r="N208" s="131"/>
      <c r="O208" s="52"/>
      <c r="P208" s="51">
        <v>11</v>
      </c>
      <c r="Q208" s="50">
        <v>13.91</v>
      </c>
      <c r="R208" s="49">
        <v>153.01</v>
      </c>
      <c r="S208" s="48">
        <v>187.39134699999997</v>
      </c>
      <c r="T208" s="82">
        <v>0</v>
      </c>
      <c r="U208" s="44">
        <f>T208*K208</f>
        <v>0</v>
      </c>
      <c r="V208" s="152"/>
      <c r="W208" s="151">
        <f>T208</f>
        <v>0</v>
      </c>
      <c r="X208" s="44">
        <f>U208</f>
        <v>0</v>
      </c>
      <c r="Y208" s="150"/>
      <c r="Z208" s="82">
        <f>T208-W208</f>
        <v>0</v>
      </c>
      <c r="AA208" s="44">
        <f>L208-X208</f>
        <v>146.50473749999998</v>
      </c>
      <c r="AB208" s="149"/>
    </row>
    <row r="209" spans="1:28" ht="25.5">
      <c r="A209" s="133"/>
      <c r="B209" s="133"/>
      <c r="C209" s="153"/>
      <c r="D209" s="153"/>
      <c r="E209" s="58" t="s">
        <v>426</v>
      </c>
      <c r="F209" s="58">
        <v>103984</v>
      </c>
      <c r="G209" s="58" t="s">
        <v>26</v>
      </c>
      <c r="H209" s="59" t="s">
        <v>425</v>
      </c>
      <c r="I209" s="58" t="s">
        <v>24</v>
      </c>
      <c r="J209" s="57">
        <f>VLOOKUP(F209,'[1]Planilha Orçamentária'!B209:J586,5,FALSE)</f>
        <v>7</v>
      </c>
      <c r="K209" s="56">
        <f>VLOOKUP(F209,'[1]Planilha Orçamentária'!B210:J586,7,FALSE)*$K$1</f>
        <v>22.715123249999998</v>
      </c>
      <c r="L209" s="55">
        <f>K209*J209</f>
        <v>159.00586274999998</v>
      </c>
      <c r="M209" s="54">
        <f>L209/$O$8</f>
        <v>9.5012868062395258E-5</v>
      </c>
      <c r="N209" s="131"/>
      <c r="O209" s="52"/>
      <c r="P209" s="51">
        <v>7</v>
      </c>
      <c r="Q209" s="50">
        <v>23.86</v>
      </c>
      <c r="R209" s="49">
        <v>167.02</v>
      </c>
      <c r="S209" s="48">
        <v>204.54939400000001</v>
      </c>
      <c r="T209" s="82">
        <v>0</v>
      </c>
      <c r="U209" s="44">
        <f>T209*K209</f>
        <v>0</v>
      </c>
      <c r="V209" s="152"/>
      <c r="W209" s="151">
        <f>T209</f>
        <v>0</v>
      </c>
      <c r="X209" s="44">
        <f>U209</f>
        <v>0</v>
      </c>
      <c r="Y209" s="150"/>
      <c r="Z209" s="82">
        <f>T209-W209</f>
        <v>0</v>
      </c>
      <c r="AA209" s="44">
        <f>L209-X209</f>
        <v>159.00586274999998</v>
      </c>
      <c r="AB209" s="149"/>
    </row>
    <row r="210" spans="1:28" ht="25.5">
      <c r="A210" s="133"/>
      <c r="B210" s="133"/>
      <c r="C210" s="153"/>
      <c r="D210" s="153"/>
      <c r="E210" s="58" t="s">
        <v>424</v>
      </c>
      <c r="F210" s="58">
        <v>89367</v>
      </c>
      <c r="G210" s="58" t="s">
        <v>26</v>
      </c>
      <c r="H210" s="59" t="s">
        <v>423</v>
      </c>
      <c r="I210" s="58" t="s">
        <v>24</v>
      </c>
      <c r="J210" s="57">
        <f>VLOOKUP(F210,'[1]Planilha Orçamentária'!B210:J587,5,FALSE)</f>
        <v>20</v>
      </c>
      <c r="K210" s="56">
        <f>VLOOKUP(F210,'[1]Planilha Orçamentária'!B211:J587,7,FALSE)*$K$1</f>
        <v>15.688406999999998</v>
      </c>
      <c r="L210" s="55">
        <f>K210*J210</f>
        <v>313.76813999999996</v>
      </c>
      <c r="M210" s="54">
        <f>L210/$O$8</f>
        <v>1.8749001057197286E-4</v>
      </c>
      <c r="N210" s="131"/>
      <c r="O210" s="52"/>
      <c r="P210" s="51">
        <v>20</v>
      </c>
      <c r="Q210" s="50">
        <v>16.510000000000002</v>
      </c>
      <c r="R210" s="49">
        <v>330.2</v>
      </c>
      <c r="S210" s="48">
        <v>404.39593999999994</v>
      </c>
      <c r="T210" s="82">
        <v>0</v>
      </c>
      <c r="U210" s="44">
        <f>T210*K210</f>
        <v>0</v>
      </c>
      <c r="V210" s="152"/>
      <c r="W210" s="151">
        <f>T210</f>
        <v>0</v>
      </c>
      <c r="X210" s="44">
        <f>U210</f>
        <v>0</v>
      </c>
      <c r="Y210" s="150"/>
      <c r="Z210" s="82">
        <f>T210-W210</f>
        <v>0</v>
      </c>
      <c r="AA210" s="44">
        <f>L210-X210</f>
        <v>313.76813999999996</v>
      </c>
      <c r="AB210" s="149"/>
    </row>
    <row r="211" spans="1:28" ht="25.5">
      <c r="A211" s="133"/>
      <c r="B211" s="133"/>
      <c r="C211" s="153"/>
      <c r="D211" s="153"/>
      <c r="E211" s="58" t="s">
        <v>422</v>
      </c>
      <c r="F211" s="58">
        <v>104319</v>
      </c>
      <c r="G211" s="58" t="s">
        <v>26</v>
      </c>
      <c r="H211" s="59" t="s">
        <v>421</v>
      </c>
      <c r="I211" s="58" t="s">
        <v>24</v>
      </c>
      <c r="J211" s="57">
        <f>VLOOKUP(F211,'[1]Planilha Orçamentária'!B211:J588,5,FALSE)</f>
        <v>12</v>
      </c>
      <c r="K211" s="56">
        <f>VLOOKUP(F211,'[1]Planilha Orçamentária'!B212:J588,7,FALSE)*$K$1</f>
        <v>11.545859249999999</v>
      </c>
      <c r="L211" s="55">
        <f>K211*J211</f>
        <v>138.55031099999999</v>
      </c>
      <c r="M211" s="54">
        <f>L211/$O$8</f>
        <v>8.2789792724462485E-5</v>
      </c>
      <c r="N211" s="131"/>
      <c r="O211" s="52"/>
      <c r="P211" s="51">
        <v>12</v>
      </c>
      <c r="Q211" s="50">
        <v>12.12</v>
      </c>
      <c r="R211" s="49">
        <v>145.44</v>
      </c>
      <c r="S211" s="48">
        <v>178.12036799999998</v>
      </c>
      <c r="T211" s="82">
        <v>0</v>
      </c>
      <c r="U211" s="44">
        <f>T211*K211</f>
        <v>0</v>
      </c>
      <c r="V211" s="152"/>
      <c r="W211" s="151">
        <f>T211</f>
        <v>0</v>
      </c>
      <c r="X211" s="44">
        <f>U211</f>
        <v>0</v>
      </c>
      <c r="Y211" s="150"/>
      <c r="Z211" s="82">
        <f>T211-W211</f>
        <v>0</v>
      </c>
      <c r="AA211" s="44">
        <f>L211-X211</f>
        <v>138.55031099999999</v>
      </c>
      <c r="AB211" s="149"/>
    </row>
    <row r="212" spans="1:28" ht="25.5">
      <c r="A212" s="133"/>
      <c r="B212" s="133"/>
      <c r="C212" s="153"/>
      <c r="D212" s="153"/>
      <c r="E212" s="58" t="s">
        <v>420</v>
      </c>
      <c r="F212" s="58">
        <v>89369</v>
      </c>
      <c r="G212" s="58" t="s">
        <v>26</v>
      </c>
      <c r="H212" s="59" t="s">
        <v>419</v>
      </c>
      <c r="I212" s="58" t="s">
        <v>24</v>
      </c>
      <c r="J212" s="57">
        <f>VLOOKUP(F212,'[1]Planilha Orçamentária'!B212:J589,5,FALSE)</f>
        <v>3</v>
      </c>
      <c r="K212" s="56">
        <f>VLOOKUP(F212,'[1]Planilha Orçamentária'!B213:J589,7,FALSE)*$K$1</f>
        <v>19.849325249999996</v>
      </c>
      <c r="L212" s="55">
        <f>K212*J212</f>
        <v>59.547975749999992</v>
      </c>
      <c r="M212" s="54">
        <f>L212/$O$8</f>
        <v>3.5582486491162173E-5</v>
      </c>
      <c r="N212" s="131"/>
      <c r="O212" s="52"/>
      <c r="P212" s="51">
        <v>3</v>
      </c>
      <c r="Q212" s="50">
        <v>20.71</v>
      </c>
      <c r="R212" s="49">
        <v>62.13</v>
      </c>
      <c r="S212" s="48">
        <v>76.090610999999996</v>
      </c>
      <c r="T212" s="82">
        <v>0</v>
      </c>
      <c r="U212" s="44">
        <f>T212*K212</f>
        <v>0</v>
      </c>
      <c r="V212" s="152"/>
      <c r="W212" s="151">
        <f>T212</f>
        <v>0</v>
      </c>
      <c r="X212" s="44">
        <f>U212</f>
        <v>0</v>
      </c>
      <c r="Y212" s="150"/>
      <c r="Z212" s="82">
        <f>T212-W212</f>
        <v>0</v>
      </c>
      <c r="AA212" s="44">
        <f>L212-X212</f>
        <v>59.547975749999992</v>
      </c>
      <c r="AB212" s="149"/>
    </row>
    <row r="213" spans="1:28" ht="25.5">
      <c r="A213" s="133"/>
      <c r="B213" s="133"/>
      <c r="C213" s="153"/>
      <c r="D213" s="153"/>
      <c r="E213" s="58" t="s">
        <v>418</v>
      </c>
      <c r="F213" s="58">
        <v>89362</v>
      </c>
      <c r="G213" s="58" t="s">
        <v>26</v>
      </c>
      <c r="H213" s="59" t="s">
        <v>417</v>
      </c>
      <c r="I213" s="58" t="s">
        <v>24</v>
      </c>
      <c r="J213" s="57">
        <f>VLOOKUP(F213,'[1]Planilha Orçamentária'!B213:J590,5,FALSE)</f>
        <v>47</v>
      </c>
      <c r="K213" s="56">
        <f>VLOOKUP(F213,'[1]Planilha Orçamentária'!B214:J590,7,FALSE)*$K$1</f>
        <v>11.665267499999997</v>
      </c>
      <c r="L213" s="55">
        <f>K213*J213</f>
        <v>548.26757249999991</v>
      </c>
      <c r="M213" s="54">
        <f>L213/$O$8</f>
        <v>3.2761354599066331E-4</v>
      </c>
      <c r="N213" s="131"/>
      <c r="O213" s="52"/>
      <c r="P213" s="51">
        <v>47</v>
      </c>
      <c r="Q213" s="50">
        <v>12.32</v>
      </c>
      <c r="R213" s="49">
        <v>579.04</v>
      </c>
      <c r="S213" s="48">
        <v>709.15028799999993</v>
      </c>
      <c r="T213" s="82">
        <v>0</v>
      </c>
      <c r="U213" s="44">
        <f>T213*K213</f>
        <v>0</v>
      </c>
      <c r="V213" s="152"/>
      <c r="W213" s="151">
        <f>T213</f>
        <v>0</v>
      </c>
      <c r="X213" s="44">
        <f>U213</f>
        <v>0</v>
      </c>
      <c r="Y213" s="150"/>
      <c r="Z213" s="82">
        <f>T213-W213</f>
        <v>0</v>
      </c>
      <c r="AA213" s="44">
        <f>L213-X213</f>
        <v>548.26757249999991</v>
      </c>
      <c r="AB213" s="149"/>
    </row>
    <row r="214" spans="1:28" ht="25.5">
      <c r="A214" s="133"/>
      <c r="B214" s="133"/>
      <c r="C214" s="153"/>
      <c r="D214" s="153"/>
      <c r="E214" s="58" t="s">
        <v>416</v>
      </c>
      <c r="F214" s="58">
        <v>89363</v>
      </c>
      <c r="G214" s="58" t="s">
        <v>26</v>
      </c>
      <c r="H214" s="59" t="s">
        <v>415</v>
      </c>
      <c r="I214" s="58" t="s">
        <v>24</v>
      </c>
      <c r="J214" s="57">
        <f>VLOOKUP(F214,'[1]Planilha Orçamentária'!B214:J591,5,FALSE)</f>
        <v>1</v>
      </c>
      <c r="K214" s="56">
        <f>VLOOKUP(F214,'[1]Planilha Orçamentária'!B215:J591,7,FALSE)*$K$1</f>
        <v>12.464384249999998</v>
      </c>
      <c r="L214" s="55">
        <f>K214*J214</f>
        <v>12.464384249999998</v>
      </c>
      <c r="M214" s="54">
        <f>L214/$O$8</f>
        <v>7.4480077384709355E-6</v>
      </c>
      <c r="N214" s="131"/>
      <c r="O214" s="52"/>
      <c r="P214" s="51">
        <v>1</v>
      </c>
      <c r="Q214" s="50">
        <v>13.12</v>
      </c>
      <c r="R214" s="49">
        <v>13.12</v>
      </c>
      <c r="S214" s="48">
        <v>16.068063999999996</v>
      </c>
      <c r="T214" s="82">
        <v>0</v>
      </c>
      <c r="U214" s="44">
        <f>T214*K214</f>
        <v>0</v>
      </c>
      <c r="V214" s="152"/>
      <c r="W214" s="151">
        <f>T214</f>
        <v>0</v>
      </c>
      <c r="X214" s="44">
        <f>U214</f>
        <v>0</v>
      </c>
      <c r="Y214" s="150"/>
      <c r="Z214" s="82">
        <f>T214-W214</f>
        <v>0</v>
      </c>
      <c r="AA214" s="44">
        <f>L214-X214</f>
        <v>12.464384249999998</v>
      </c>
      <c r="AB214" s="149"/>
    </row>
    <row r="215" spans="1:28" ht="25.5">
      <c r="A215" s="133"/>
      <c r="B215" s="133"/>
      <c r="C215" s="153"/>
      <c r="D215" s="153"/>
      <c r="E215" s="58" t="s">
        <v>414</v>
      </c>
      <c r="F215" s="58">
        <v>103995</v>
      </c>
      <c r="G215" s="58" t="s">
        <v>26</v>
      </c>
      <c r="H215" s="59" t="s">
        <v>413</v>
      </c>
      <c r="I215" s="58" t="s">
        <v>24</v>
      </c>
      <c r="J215" s="57">
        <f>VLOOKUP(F215,'[1]Planilha Orçamentária'!B215:J592,5,FALSE)</f>
        <v>3</v>
      </c>
      <c r="K215" s="56">
        <f>VLOOKUP(F215,'[1]Planilha Orçamentária'!B216:J592,7,FALSE)*$K$1</f>
        <v>17.112120749999999</v>
      </c>
      <c r="L215" s="55">
        <f>K215*J215</f>
        <v>51.336362249999993</v>
      </c>
      <c r="M215" s="54">
        <f>L215/$O$8</f>
        <v>3.0675692888956565E-5</v>
      </c>
      <c r="N215" s="131"/>
      <c r="O215" s="52"/>
      <c r="P215" s="51">
        <v>3</v>
      </c>
      <c r="Q215" s="50">
        <v>17.97</v>
      </c>
      <c r="R215" s="49">
        <v>53.91</v>
      </c>
      <c r="S215" s="48">
        <v>66.023576999999989</v>
      </c>
      <c r="T215" s="82">
        <v>0</v>
      </c>
      <c r="U215" s="44">
        <f>T215*K215</f>
        <v>0</v>
      </c>
      <c r="V215" s="152"/>
      <c r="W215" s="151">
        <f>T215</f>
        <v>0</v>
      </c>
      <c r="X215" s="44">
        <f>U215</f>
        <v>0</v>
      </c>
      <c r="Y215" s="150"/>
      <c r="Z215" s="82">
        <f>T215-W215</f>
        <v>0</v>
      </c>
      <c r="AA215" s="44">
        <f>L215-X215</f>
        <v>51.336362249999993</v>
      </c>
      <c r="AB215" s="149"/>
    </row>
    <row r="216" spans="1:28" ht="25.5">
      <c r="A216" s="133"/>
      <c r="B216" s="133"/>
      <c r="C216" s="153"/>
      <c r="D216" s="153"/>
      <c r="E216" s="58" t="s">
        <v>412</v>
      </c>
      <c r="F216" s="58">
        <v>103996</v>
      </c>
      <c r="G216" s="58" t="s">
        <v>26</v>
      </c>
      <c r="H216" s="59" t="s">
        <v>411</v>
      </c>
      <c r="I216" s="58" t="s">
        <v>24</v>
      </c>
      <c r="J216" s="57">
        <f>VLOOKUP(F216,'[1]Planilha Orçamentária'!B216:J593,5,FALSE)</f>
        <v>1</v>
      </c>
      <c r="K216" s="56">
        <f>VLOOKUP(F216,'[1]Planilha Orçamentária'!B217:J593,7,FALSE)*$K$1</f>
        <v>42.105185999999996</v>
      </c>
      <c r="L216" s="55">
        <f>K216*J216</f>
        <v>42.105185999999996</v>
      </c>
      <c r="M216" s="54">
        <f>L216/$O$8</f>
        <v>2.5159666524060995E-5</v>
      </c>
      <c r="N216" s="131"/>
      <c r="O216" s="52"/>
      <c r="P216" s="51">
        <v>1</v>
      </c>
      <c r="Q216" s="50">
        <v>43.2</v>
      </c>
      <c r="R216" s="49">
        <v>43.2</v>
      </c>
      <c r="S216" s="48">
        <v>52.907040000000002</v>
      </c>
      <c r="T216" s="82">
        <v>0</v>
      </c>
      <c r="U216" s="44">
        <f>T216*K216</f>
        <v>0</v>
      </c>
      <c r="V216" s="152"/>
      <c r="W216" s="151">
        <f>T216</f>
        <v>0</v>
      </c>
      <c r="X216" s="44">
        <f>U216</f>
        <v>0</v>
      </c>
      <c r="Y216" s="150"/>
      <c r="Z216" s="82">
        <f>T216-W216</f>
        <v>0</v>
      </c>
      <c r="AA216" s="44">
        <f>L216-X216</f>
        <v>42.105185999999996</v>
      </c>
      <c r="AB216" s="149"/>
    </row>
    <row r="217" spans="1:28" ht="25.5">
      <c r="A217" s="133"/>
      <c r="B217" s="133"/>
      <c r="C217" s="153"/>
      <c r="D217" s="153"/>
      <c r="E217" s="58" t="s">
        <v>410</v>
      </c>
      <c r="F217" s="58">
        <v>89386</v>
      </c>
      <c r="G217" s="58" t="s">
        <v>26</v>
      </c>
      <c r="H217" s="59" t="s">
        <v>409</v>
      </c>
      <c r="I217" s="58" t="s">
        <v>24</v>
      </c>
      <c r="J217" s="57">
        <f>VLOOKUP(F217,'[1]Planilha Orçamentária'!B217:J594,5,FALSE)</f>
        <v>5</v>
      </c>
      <c r="K217" s="56">
        <f>VLOOKUP(F217,'[1]Planilha Orçamentária'!B218:J594,7,FALSE)*$K$1</f>
        <v>11.343783749999998</v>
      </c>
      <c r="L217" s="55">
        <f>K217*J217</f>
        <v>56.718918749999993</v>
      </c>
      <c r="M217" s="54">
        <f>L217/$O$8</f>
        <v>3.3892002789283731E-5</v>
      </c>
      <c r="N217" s="131"/>
      <c r="O217" s="52"/>
      <c r="P217" s="51">
        <v>5</v>
      </c>
      <c r="Q217" s="50">
        <v>11.93</v>
      </c>
      <c r="R217" s="49">
        <v>59.65</v>
      </c>
      <c r="S217" s="48">
        <v>73.053354999999996</v>
      </c>
      <c r="T217" s="82">
        <v>0</v>
      </c>
      <c r="U217" s="44">
        <f>T217*K217</f>
        <v>0</v>
      </c>
      <c r="V217" s="152"/>
      <c r="W217" s="151">
        <f>T217</f>
        <v>0</v>
      </c>
      <c r="X217" s="44">
        <f>U217</f>
        <v>0</v>
      </c>
      <c r="Y217" s="150"/>
      <c r="Z217" s="82">
        <f>T217-W217</f>
        <v>0</v>
      </c>
      <c r="AA217" s="44">
        <f>L217-X217</f>
        <v>56.718918749999993</v>
      </c>
      <c r="AB217" s="149"/>
    </row>
    <row r="218" spans="1:28" ht="25.5">
      <c r="A218" s="133"/>
      <c r="B218" s="133"/>
      <c r="C218" s="153"/>
      <c r="D218" s="153"/>
      <c r="E218" s="58" t="s">
        <v>408</v>
      </c>
      <c r="F218" s="58">
        <v>89378</v>
      </c>
      <c r="G218" s="58" t="s">
        <v>26</v>
      </c>
      <c r="H218" s="59" t="s">
        <v>407</v>
      </c>
      <c r="I218" s="58" t="s">
        <v>24</v>
      </c>
      <c r="J218" s="57">
        <f>VLOOKUP(F218,'[1]Planilha Orçamentária'!B218:J595,5,FALSE)</f>
        <v>12</v>
      </c>
      <c r="K218" s="56">
        <f>VLOOKUP(F218,'[1]Planilha Orçamentária'!B219:J595,7,FALSE)*$K$1</f>
        <v>8.4779857500000002</v>
      </c>
      <c r="L218" s="55">
        <f>K218*J218</f>
        <v>101.735829</v>
      </c>
      <c r="M218" s="54">
        <f>L218/$O$8</f>
        <v>6.0791550266252094E-5</v>
      </c>
      <c r="N218" s="131"/>
      <c r="O218" s="52"/>
      <c r="P218" s="51">
        <v>12</v>
      </c>
      <c r="Q218" s="50">
        <v>8.94</v>
      </c>
      <c r="R218" s="49">
        <v>107.28</v>
      </c>
      <c r="S218" s="48">
        <v>131.38581599999998</v>
      </c>
      <c r="T218" s="82">
        <v>0</v>
      </c>
      <c r="U218" s="44">
        <f>T218*K218</f>
        <v>0</v>
      </c>
      <c r="V218" s="152"/>
      <c r="W218" s="151">
        <f>T218</f>
        <v>0</v>
      </c>
      <c r="X218" s="44">
        <f>U218</f>
        <v>0</v>
      </c>
      <c r="Y218" s="150"/>
      <c r="Z218" s="82">
        <f>T218-W218</f>
        <v>0</v>
      </c>
      <c r="AA218" s="44">
        <f>L218-X218</f>
        <v>101.735829</v>
      </c>
      <c r="AB218" s="149"/>
    </row>
    <row r="219" spans="1:28" ht="25.5">
      <c r="A219" s="133"/>
      <c r="B219" s="133"/>
      <c r="C219" s="153"/>
      <c r="D219" s="153"/>
      <c r="E219" s="58" t="s">
        <v>406</v>
      </c>
      <c r="F219" s="58">
        <v>97468</v>
      </c>
      <c r="G219" s="58" t="s">
        <v>26</v>
      </c>
      <c r="H219" s="59" t="s">
        <v>405</v>
      </c>
      <c r="I219" s="58" t="s">
        <v>24</v>
      </c>
      <c r="J219" s="57">
        <f>VLOOKUP(F219,'[1]Planilha Orçamentária'!B219:J596,5,FALSE)</f>
        <v>1</v>
      </c>
      <c r="K219" s="56">
        <f>VLOOKUP(F219,'[1]Planilha Orçamentária'!B220:J596,7,FALSE)*$K$1</f>
        <v>79.195225499999978</v>
      </c>
      <c r="L219" s="55">
        <f>K219*J219</f>
        <v>79.195225499999978</v>
      </c>
      <c r="M219" s="54">
        <f>L219/$O$8</f>
        <v>4.73225664857011E-5</v>
      </c>
      <c r="N219" s="131"/>
      <c r="O219" s="52"/>
      <c r="P219" s="51">
        <v>1</v>
      </c>
      <c r="Q219" s="50">
        <v>95.16</v>
      </c>
      <c r="R219" s="49">
        <v>95.16</v>
      </c>
      <c r="S219" s="48">
        <v>116.54245199999998</v>
      </c>
      <c r="T219" s="82">
        <v>0</v>
      </c>
      <c r="U219" s="44">
        <f>T219*K219</f>
        <v>0</v>
      </c>
      <c r="V219" s="152"/>
      <c r="W219" s="151">
        <f>T219</f>
        <v>0</v>
      </c>
      <c r="X219" s="44">
        <f>U219</f>
        <v>0</v>
      </c>
      <c r="Y219" s="150"/>
      <c r="Z219" s="82">
        <f>T219-W219</f>
        <v>0</v>
      </c>
      <c r="AA219" s="44">
        <f>L219-X219</f>
        <v>79.195225499999978</v>
      </c>
      <c r="AB219" s="149"/>
    </row>
    <row r="220" spans="1:28" ht="25.5">
      <c r="A220" s="133"/>
      <c r="B220" s="133"/>
      <c r="C220" s="153"/>
      <c r="D220" s="153"/>
      <c r="E220" s="58" t="s">
        <v>404</v>
      </c>
      <c r="F220" s="58">
        <v>104004</v>
      </c>
      <c r="G220" s="58" t="s">
        <v>26</v>
      </c>
      <c r="H220" s="59" t="s">
        <v>403</v>
      </c>
      <c r="I220" s="58" t="s">
        <v>24</v>
      </c>
      <c r="J220" s="57">
        <f>VLOOKUP(F220,'[1]Planilha Orçamentária'!B220:J597,5,FALSE)</f>
        <v>6</v>
      </c>
      <c r="K220" s="56">
        <f>VLOOKUP(F220,'[1]Planilha Orçamentária'!B221:J597,7,FALSE)*$K$1</f>
        <v>33.820090499999999</v>
      </c>
      <c r="L220" s="55">
        <f>K220*J220</f>
        <v>202.92054300000001</v>
      </c>
      <c r="M220" s="54">
        <f>L220/$O$8</f>
        <v>1.2125378552564476E-4</v>
      </c>
      <c r="N220" s="131"/>
      <c r="O220" s="52"/>
      <c r="P220" s="51">
        <v>6</v>
      </c>
      <c r="Q220" s="50">
        <v>35.42</v>
      </c>
      <c r="R220" s="49">
        <v>212.52</v>
      </c>
      <c r="S220" s="48">
        <v>260.27324399999998</v>
      </c>
      <c r="T220" s="82">
        <v>0</v>
      </c>
      <c r="U220" s="44">
        <f>T220*K220</f>
        <v>0</v>
      </c>
      <c r="V220" s="152"/>
      <c r="W220" s="151">
        <f>T220</f>
        <v>0</v>
      </c>
      <c r="X220" s="44">
        <f>U220</f>
        <v>0</v>
      </c>
      <c r="Y220" s="150"/>
      <c r="Z220" s="82">
        <f>T220-W220</f>
        <v>0</v>
      </c>
      <c r="AA220" s="44">
        <f>L220-X220</f>
        <v>202.92054300000001</v>
      </c>
      <c r="AB220" s="149"/>
    </row>
    <row r="221" spans="1:28" ht="25.5">
      <c r="A221" s="133"/>
      <c r="B221" s="133"/>
      <c r="C221" s="153"/>
      <c r="D221" s="153"/>
      <c r="E221" s="58" t="s">
        <v>402</v>
      </c>
      <c r="F221" s="58">
        <v>89398</v>
      </c>
      <c r="G221" s="58" t="s">
        <v>26</v>
      </c>
      <c r="H221" s="59" t="s">
        <v>401</v>
      </c>
      <c r="I221" s="58" t="s">
        <v>24</v>
      </c>
      <c r="J221" s="57">
        <f>VLOOKUP(F221,'[1]Planilha Orçamentária'!B221:J598,5,FALSE)</f>
        <v>6</v>
      </c>
      <c r="K221" s="56">
        <f>VLOOKUP(F221,'[1]Planilha Orçamentária'!B222:J598,7,FALSE)*$K$1</f>
        <v>21.713930999999999</v>
      </c>
      <c r="L221" s="55">
        <f>K221*J221</f>
        <v>130.28358599999999</v>
      </c>
      <c r="M221" s="54">
        <f>L221/$O$8</f>
        <v>7.7850067621570922E-5</v>
      </c>
      <c r="N221" s="131"/>
      <c r="O221" s="52"/>
      <c r="P221" s="51">
        <v>6</v>
      </c>
      <c r="Q221" s="50">
        <v>22.84</v>
      </c>
      <c r="R221" s="49">
        <v>137.04</v>
      </c>
      <c r="S221" s="48">
        <v>167.83288799999997</v>
      </c>
      <c r="T221" s="82">
        <v>0</v>
      </c>
      <c r="U221" s="44">
        <f>T221*K221</f>
        <v>0</v>
      </c>
      <c r="V221" s="152"/>
      <c r="W221" s="151">
        <f>T221</f>
        <v>0</v>
      </c>
      <c r="X221" s="44">
        <f>U221</f>
        <v>0</v>
      </c>
      <c r="Y221" s="150"/>
      <c r="Z221" s="82">
        <f>T221-W221</f>
        <v>0</v>
      </c>
      <c r="AA221" s="44">
        <f>L221-X221</f>
        <v>130.28358599999999</v>
      </c>
      <c r="AB221" s="149"/>
    </row>
    <row r="222" spans="1:28" ht="25.5">
      <c r="A222" s="133"/>
      <c r="B222" s="133"/>
      <c r="C222" s="153"/>
      <c r="D222" s="153"/>
      <c r="E222" s="58" t="s">
        <v>400</v>
      </c>
      <c r="F222" s="58">
        <v>104324</v>
      </c>
      <c r="G222" s="58" t="s">
        <v>26</v>
      </c>
      <c r="H222" s="59" t="s">
        <v>399</v>
      </c>
      <c r="I222" s="58" t="s">
        <v>24</v>
      </c>
      <c r="J222" s="57">
        <f>VLOOKUP(F222,'[1]Planilha Orçamentária'!B222:J599,5,FALSE)</f>
        <v>4</v>
      </c>
      <c r="K222" s="56">
        <f>VLOOKUP(F222,'[1]Planilha Orçamentária'!B223:J599,7,FALSE)*$K$1</f>
        <v>16.184410499999998</v>
      </c>
      <c r="L222" s="55">
        <f>K222*J222</f>
        <v>64.737641999999994</v>
      </c>
      <c r="M222" s="54">
        <f>L222/$O$8</f>
        <v>3.8683536139088544E-5</v>
      </c>
      <c r="N222" s="131"/>
      <c r="O222" s="52"/>
      <c r="P222" s="51">
        <v>4</v>
      </c>
      <c r="Q222" s="50">
        <v>16.97</v>
      </c>
      <c r="R222" s="49">
        <v>67.88</v>
      </c>
      <c r="S222" s="48">
        <v>83.132635999999991</v>
      </c>
      <c r="T222" s="82">
        <v>0</v>
      </c>
      <c r="U222" s="44">
        <f>T222*K222</f>
        <v>0</v>
      </c>
      <c r="V222" s="152"/>
      <c r="W222" s="151">
        <f>T222</f>
        <v>0</v>
      </c>
      <c r="X222" s="44">
        <f>U222</f>
        <v>0</v>
      </c>
      <c r="Y222" s="150"/>
      <c r="Z222" s="82">
        <f>T222-W222</f>
        <v>0</v>
      </c>
      <c r="AA222" s="44">
        <f>L222-X222</f>
        <v>64.737641999999994</v>
      </c>
      <c r="AB222" s="149"/>
    </row>
    <row r="223" spans="1:28" ht="25.5">
      <c r="A223" s="133"/>
      <c r="B223" s="133"/>
      <c r="C223" s="153"/>
      <c r="D223" s="153"/>
      <c r="E223" s="58" t="s">
        <v>398</v>
      </c>
      <c r="F223" s="58">
        <v>89440</v>
      </c>
      <c r="G223" s="58" t="s">
        <v>26</v>
      </c>
      <c r="H223" s="59" t="s">
        <v>397</v>
      </c>
      <c r="I223" s="58" t="s">
        <v>24</v>
      </c>
      <c r="J223" s="57">
        <f>VLOOKUP(F223,'[1]Planilha Orçamentária'!B223:J600,5,FALSE)</f>
        <v>14</v>
      </c>
      <c r="K223" s="56">
        <f>VLOOKUP(F223,'[1]Planilha Orçamentária'!B224:J600,7,FALSE)*$K$1</f>
        <v>14.576991749999999</v>
      </c>
      <c r="L223" s="55">
        <f>K223*J223</f>
        <v>204.07788449999998</v>
      </c>
      <c r="M223" s="54">
        <f>L223/$O$8</f>
        <v>1.2194534704004956E-4</v>
      </c>
      <c r="N223" s="131"/>
      <c r="O223" s="52"/>
      <c r="P223" s="51">
        <v>14</v>
      </c>
      <c r="Q223" s="50">
        <v>15.4</v>
      </c>
      <c r="R223" s="49">
        <v>215.6</v>
      </c>
      <c r="S223" s="48">
        <v>264.04531999999995</v>
      </c>
      <c r="T223" s="82">
        <v>0</v>
      </c>
      <c r="U223" s="44">
        <f>T223*K223</f>
        <v>0</v>
      </c>
      <c r="V223" s="152"/>
      <c r="W223" s="151">
        <f>T223</f>
        <v>0</v>
      </c>
      <c r="X223" s="44">
        <f>U223</f>
        <v>0</v>
      </c>
      <c r="Y223" s="150"/>
      <c r="Z223" s="82">
        <f>T223-W223</f>
        <v>0</v>
      </c>
      <c r="AA223" s="44">
        <f>L223-X223</f>
        <v>204.07788449999998</v>
      </c>
      <c r="AB223" s="149"/>
    </row>
    <row r="224" spans="1:28" ht="25.5">
      <c r="A224" s="133"/>
      <c r="B224" s="133"/>
      <c r="C224" s="153"/>
      <c r="D224" s="153"/>
      <c r="E224" s="58" t="s">
        <v>396</v>
      </c>
      <c r="F224" s="58">
        <v>104006</v>
      </c>
      <c r="G224" s="58" t="s">
        <v>26</v>
      </c>
      <c r="H224" s="59" t="s">
        <v>395</v>
      </c>
      <c r="I224" s="58" t="s">
        <v>24</v>
      </c>
      <c r="J224" s="57">
        <f>VLOOKUP(F224,'[1]Planilha Orçamentária'!B224:J601,5,FALSE)</f>
        <v>6</v>
      </c>
      <c r="K224" s="56">
        <f>VLOOKUP(F224,'[1]Planilha Orçamentária'!B225:J601,7,FALSE)*$K$1</f>
        <v>28.308940499999999</v>
      </c>
      <c r="L224" s="55">
        <f>K224*J224</f>
        <v>169.85364299999998</v>
      </c>
      <c r="M224" s="54">
        <f>L224/$O$8</f>
        <v>1.0149488511407851E-4</v>
      </c>
      <c r="N224" s="131"/>
      <c r="O224" s="52"/>
      <c r="P224" s="51">
        <v>6</v>
      </c>
      <c r="Q224" s="50">
        <v>29.52</v>
      </c>
      <c r="R224" s="49">
        <v>177.12</v>
      </c>
      <c r="S224" s="48">
        <v>216.91886399999999</v>
      </c>
      <c r="T224" s="82">
        <v>0</v>
      </c>
      <c r="U224" s="44">
        <f>T224*K224</f>
        <v>0</v>
      </c>
      <c r="V224" s="152"/>
      <c r="W224" s="151">
        <f>T224</f>
        <v>0</v>
      </c>
      <c r="X224" s="44">
        <f>U224</f>
        <v>0</v>
      </c>
      <c r="Y224" s="150"/>
      <c r="Z224" s="82">
        <f>T224-W224</f>
        <v>0</v>
      </c>
      <c r="AA224" s="44">
        <f>L224-X224</f>
        <v>169.85364299999998</v>
      </c>
      <c r="AB224" s="149"/>
    </row>
    <row r="225" spans="1:28" ht="25.5">
      <c r="A225" s="133"/>
      <c r="B225" s="133"/>
      <c r="C225" s="153"/>
      <c r="D225" s="153"/>
      <c r="E225" s="58" t="s">
        <v>394</v>
      </c>
      <c r="F225" s="58">
        <v>103999</v>
      </c>
      <c r="G225" s="58" t="s">
        <v>26</v>
      </c>
      <c r="H225" s="59" t="s">
        <v>393</v>
      </c>
      <c r="I225" s="58" t="s">
        <v>24</v>
      </c>
      <c r="J225" s="57">
        <f>VLOOKUP(F225,'[1]Planilha Orçamentária'!B225:J602,5,FALSE)</f>
        <v>2</v>
      </c>
      <c r="K225" s="56">
        <f>VLOOKUP(F225,'[1]Planilha Orçamentária'!B226:J602,7,FALSE)*$K$1</f>
        <v>14.154470249999999</v>
      </c>
      <c r="L225" s="55">
        <f>K225*J225</f>
        <v>28.308940499999999</v>
      </c>
      <c r="M225" s="54">
        <f>L225/$O$8</f>
        <v>1.6915814185679752E-5</v>
      </c>
      <c r="N225" s="131"/>
      <c r="O225" s="52"/>
      <c r="P225" s="51">
        <v>2</v>
      </c>
      <c r="Q225" s="50">
        <v>14.81</v>
      </c>
      <c r="R225" s="49">
        <v>29.62</v>
      </c>
      <c r="S225" s="48">
        <v>36.275613999999997</v>
      </c>
      <c r="T225" s="82">
        <v>0</v>
      </c>
      <c r="U225" s="44">
        <f>T225*K225</f>
        <v>0</v>
      </c>
      <c r="V225" s="152"/>
      <c r="W225" s="151">
        <f>T225</f>
        <v>0</v>
      </c>
      <c r="X225" s="44">
        <f>U225</f>
        <v>0</v>
      </c>
      <c r="Y225" s="150"/>
      <c r="Z225" s="82">
        <f>T225-W225</f>
        <v>0</v>
      </c>
      <c r="AA225" s="44">
        <f>L225-X225</f>
        <v>28.308940499999999</v>
      </c>
      <c r="AB225" s="149"/>
    </row>
    <row r="226" spans="1:28" ht="25.5">
      <c r="A226" s="133"/>
      <c r="B226" s="133"/>
      <c r="C226" s="153"/>
      <c r="D226" s="153"/>
      <c r="E226" s="58" t="s">
        <v>392</v>
      </c>
      <c r="F226" s="58">
        <v>104003</v>
      </c>
      <c r="G226" s="58" t="s">
        <v>26</v>
      </c>
      <c r="H226" s="59" t="s">
        <v>391</v>
      </c>
      <c r="I226" s="58" t="s">
        <v>24</v>
      </c>
      <c r="J226" s="57">
        <f>VLOOKUP(F226,'[1]Planilha Orçamentária'!B226:J603,5,FALSE)</f>
        <v>1</v>
      </c>
      <c r="K226" s="56">
        <f>VLOOKUP(F226,'[1]Planilha Orçamentária'!B227:J603,7,FALSE)*$K$1</f>
        <v>16.423226999999997</v>
      </c>
      <c r="L226" s="55">
        <f>K226*J226</f>
        <v>16.423226999999997</v>
      </c>
      <c r="M226" s="54">
        <f>L226/$O$8</f>
        <v>9.8135872044112253E-6</v>
      </c>
      <c r="N226" s="131"/>
      <c r="O226" s="52"/>
      <c r="P226" s="51">
        <v>1</v>
      </c>
      <c r="Q226" s="50">
        <v>17.16</v>
      </c>
      <c r="R226" s="49">
        <v>17.16</v>
      </c>
      <c r="S226" s="48">
        <v>21.015851999999999</v>
      </c>
      <c r="T226" s="82">
        <v>0</v>
      </c>
      <c r="U226" s="44">
        <f>T226*K226</f>
        <v>0</v>
      </c>
      <c r="V226" s="152"/>
      <c r="W226" s="151">
        <f>T226</f>
        <v>0</v>
      </c>
      <c r="X226" s="44">
        <f>U226</f>
        <v>0</v>
      </c>
      <c r="Y226" s="150"/>
      <c r="Z226" s="82">
        <f>T226-W226</f>
        <v>0</v>
      </c>
      <c r="AA226" s="44">
        <f>L226-X226</f>
        <v>16.423226999999997</v>
      </c>
      <c r="AB226" s="149"/>
    </row>
    <row r="227" spans="1:28" ht="25.5">
      <c r="A227" s="133"/>
      <c r="B227" s="133"/>
      <c r="C227" s="153"/>
      <c r="D227" s="153"/>
      <c r="E227" s="58" t="s">
        <v>390</v>
      </c>
      <c r="F227" s="58">
        <v>89426</v>
      </c>
      <c r="G227" s="58" t="s">
        <v>26</v>
      </c>
      <c r="H227" s="59" t="s">
        <v>389</v>
      </c>
      <c r="I227" s="58" t="s">
        <v>24</v>
      </c>
      <c r="J227" s="57">
        <f>VLOOKUP(F227,'[1]Planilha Orçamentária'!B227:J604,5,FALSE)</f>
        <v>2</v>
      </c>
      <c r="K227" s="56">
        <f>VLOOKUP(F227,'[1]Planilha Orçamentária'!B228:J604,7,FALSE)*$K$1</f>
        <v>10.875335999999997</v>
      </c>
      <c r="L227" s="55">
        <f>K227*J227</f>
        <v>21.750671999999994</v>
      </c>
      <c r="M227" s="54">
        <f>L227/$O$8</f>
        <v>1.2996965604052448E-5</v>
      </c>
      <c r="N227" s="131"/>
      <c r="O227" s="52"/>
      <c r="P227" s="51">
        <v>2</v>
      </c>
      <c r="Q227" s="50">
        <v>11.4</v>
      </c>
      <c r="R227" s="49">
        <v>22.8</v>
      </c>
      <c r="S227" s="48">
        <v>27.923159999999999</v>
      </c>
      <c r="T227" s="82">
        <v>0</v>
      </c>
      <c r="U227" s="44">
        <f>T227*K227</f>
        <v>0</v>
      </c>
      <c r="V227" s="152"/>
      <c r="W227" s="151">
        <f>T227</f>
        <v>0</v>
      </c>
      <c r="X227" s="44">
        <f>U227</f>
        <v>0</v>
      </c>
      <c r="Y227" s="150"/>
      <c r="Z227" s="82">
        <f>T227-W227</f>
        <v>0</v>
      </c>
      <c r="AA227" s="44">
        <f>L227-X227</f>
        <v>21.750671999999994</v>
      </c>
      <c r="AB227" s="149"/>
    </row>
    <row r="228" spans="1:28" ht="38.25">
      <c r="A228" s="133"/>
      <c r="B228" s="133"/>
      <c r="C228" s="153"/>
      <c r="D228" s="153"/>
      <c r="E228" s="58" t="s">
        <v>388</v>
      </c>
      <c r="F228" s="58">
        <v>94706</v>
      </c>
      <c r="G228" s="58" t="s">
        <v>26</v>
      </c>
      <c r="H228" s="59" t="s">
        <v>387</v>
      </c>
      <c r="I228" s="58" t="s">
        <v>24</v>
      </c>
      <c r="J228" s="57">
        <f>VLOOKUP(F228,'[1]Planilha Orçamentária'!B228:J605,5,FALSE)</f>
        <v>8</v>
      </c>
      <c r="K228" s="56">
        <f>VLOOKUP(F228,'[1]Planilha Orçamentária'!B229:J605,7,FALSE)*$K$1</f>
        <v>37.925897249999998</v>
      </c>
      <c r="L228" s="55">
        <f>K228*J228</f>
        <v>303.40717799999999</v>
      </c>
      <c r="M228" s="54">
        <f>L228/$O$8</f>
        <v>1.8129888844301546E-4</v>
      </c>
      <c r="N228" s="131"/>
      <c r="O228" s="52"/>
      <c r="P228" s="51">
        <v>8</v>
      </c>
      <c r="Q228" s="50">
        <v>38.82</v>
      </c>
      <c r="R228" s="49">
        <v>310.56</v>
      </c>
      <c r="S228" s="48">
        <v>380.34283199999999</v>
      </c>
      <c r="T228" s="82">
        <v>0</v>
      </c>
      <c r="U228" s="44">
        <f>T228*K228</f>
        <v>0</v>
      </c>
      <c r="V228" s="152"/>
      <c r="W228" s="151">
        <f>T228</f>
        <v>0</v>
      </c>
      <c r="X228" s="44">
        <f>U228</f>
        <v>0</v>
      </c>
      <c r="Y228" s="150"/>
      <c r="Z228" s="82">
        <f>T228-W228</f>
        <v>0</v>
      </c>
      <c r="AA228" s="44">
        <f>L228-X228</f>
        <v>303.40717799999999</v>
      </c>
      <c r="AB228" s="149"/>
    </row>
    <row r="229" spans="1:28" ht="38.25">
      <c r="A229" s="133"/>
      <c r="B229" s="133"/>
      <c r="C229" s="153"/>
      <c r="D229" s="153"/>
      <c r="E229" s="58" t="s">
        <v>386</v>
      </c>
      <c r="F229" s="58">
        <v>94704</v>
      </c>
      <c r="G229" s="58" t="s">
        <v>26</v>
      </c>
      <c r="H229" s="59" t="s">
        <v>385</v>
      </c>
      <c r="I229" s="58" t="s">
        <v>24</v>
      </c>
      <c r="J229" s="57">
        <f>VLOOKUP(F229,'[1]Planilha Orçamentária'!B229:J606,5,FALSE)</f>
        <v>2</v>
      </c>
      <c r="K229" s="56">
        <f>VLOOKUP(F229,'[1]Planilha Orçamentária'!B230:J606,7,FALSE)*$K$1</f>
        <v>28.722276749999999</v>
      </c>
      <c r="L229" s="55">
        <f>K229*J229</f>
        <v>57.444553499999998</v>
      </c>
      <c r="M229" s="54">
        <f>L229/$O$8</f>
        <v>3.4325600881648658E-5</v>
      </c>
      <c r="N229" s="131"/>
      <c r="O229" s="52"/>
      <c r="P229" s="51">
        <v>2</v>
      </c>
      <c r="Q229" s="50">
        <v>29.46</v>
      </c>
      <c r="R229" s="49">
        <v>58.92</v>
      </c>
      <c r="S229" s="48">
        <v>72.159323999999998</v>
      </c>
      <c r="T229" s="82">
        <v>0</v>
      </c>
      <c r="U229" s="44">
        <f>T229*K229</f>
        <v>0</v>
      </c>
      <c r="V229" s="152"/>
      <c r="W229" s="151">
        <f>T229</f>
        <v>0</v>
      </c>
      <c r="X229" s="44">
        <f>U229</f>
        <v>0</v>
      </c>
      <c r="Y229" s="150"/>
      <c r="Z229" s="82">
        <f>T229-W229</f>
        <v>0</v>
      </c>
      <c r="AA229" s="44">
        <f>L229-X229</f>
        <v>57.444553499999998</v>
      </c>
      <c r="AB229" s="149"/>
    </row>
    <row r="230" spans="1:28" ht="25.5">
      <c r="A230" s="133"/>
      <c r="B230" s="133"/>
      <c r="C230" s="153"/>
      <c r="D230" s="153"/>
      <c r="E230" s="58" t="s">
        <v>384</v>
      </c>
      <c r="F230" s="58">
        <v>89383</v>
      </c>
      <c r="G230" s="58" t="s">
        <v>26</v>
      </c>
      <c r="H230" s="59" t="s">
        <v>383</v>
      </c>
      <c r="I230" s="58" t="s">
        <v>24</v>
      </c>
      <c r="J230" s="57">
        <f>VLOOKUP(F230,'[1]Planilha Orçamentária'!B230:J607,5,FALSE)</f>
        <v>20</v>
      </c>
      <c r="K230" s="56">
        <f>VLOOKUP(F230,'[1]Planilha Orçamentária'!B231:J607,7,FALSE)*$K$1</f>
        <v>7.9452412500000005</v>
      </c>
      <c r="L230" s="55">
        <f>K230*J230</f>
        <v>158.90482500000002</v>
      </c>
      <c r="M230" s="54">
        <f>L230/$O$8</f>
        <v>9.4952493644471052E-5</v>
      </c>
      <c r="N230" s="131"/>
      <c r="O230" s="52"/>
      <c r="P230" s="51">
        <v>20</v>
      </c>
      <c r="Q230" s="50">
        <v>8.39</v>
      </c>
      <c r="R230" s="49">
        <v>167.8</v>
      </c>
      <c r="S230" s="48">
        <v>205.50466</v>
      </c>
      <c r="T230" s="82">
        <v>0</v>
      </c>
      <c r="U230" s="44">
        <f>T230*K230</f>
        <v>0</v>
      </c>
      <c r="V230" s="152"/>
      <c r="W230" s="151">
        <f>T230</f>
        <v>0</v>
      </c>
      <c r="X230" s="47">
        <f>U230</f>
        <v>0</v>
      </c>
      <c r="Y230" s="150"/>
      <c r="Z230" s="82">
        <f>T230-W230</f>
        <v>0</v>
      </c>
      <c r="AA230" s="44">
        <f>L230-X230</f>
        <v>158.90482500000002</v>
      </c>
      <c r="AB230" s="149"/>
    </row>
    <row r="231" spans="1:28" ht="25.5">
      <c r="A231" s="133"/>
      <c r="B231" s="133"/>
      <c r="C231" s="153"/>
      <c r="D231" s="153"/>
      <c r="E231" s="58" t="s">
        <v>382</v>
      </c>
      <c r="F231" s="58">
        <v>103013</v>
      </c>
      <c r="G231" s="58" t="s">
        <v>26</v>
      </c>
      <c r="H231" s="59" t="s">
        <v>381</v>
      </c>
      <c r="I231" s="58" t="s">
        <v>24</v>
      </c>
      <c r="J231" s="57">
        <f>VLOOKUP(F231,'[1]Planilha Orçamentária'!B231:J608,5,FALSE)</f>
        <v>1</v>
      </c>
      <c r="K231" s="56">
        <f>VLOOKUP(F231,'[1]Planilha Orçamentária'!B232:J608,7,FALSE)*$K$1</f>
        <v>150.11454075</v>
      </c>
      <c r="L231" s="55">
        <f>K231*J231</f>
        <v>150.11454075</v>
      </c>
      <c r="M231" s="54">
        <f>L231/$O$8</f>
        <v>8.9699919285063013E-5</v>
      </c>
      <c r="N231" s="131"/>
      <c r="O231" s="52"/>
      <c r="P231" s="51">
        <v>1</v>
      </c>
      <c r="Q231" s="50">
        <v>167.37</v>
      </c>
      <c r="R231" s="49">
        <v>167.37</v>
      </c>
      <c r="S231" s="48">
        <v>204.978039</v>
      </c>
      <c r="T231" s="82">
        <v>0</v>
      </c>
      <c r="U231" s="44">
        <f>T231*K231</f>
        <v>0</v>
      </c>
      <c r="V231" s="152"/>
      <c r="W231" s="155">
        <f>T231</f>
        <v>0</v>
      </c>
      <c r="X231" s="154">
        <f>U231</f>
        <v>0</v>
      </c>
      <c r="Y231" s="150"/>
      <c r="Z231" s="45">
        <f>T231-W231</f>
        <v>0</v>
      </c>
      <c r="AA231" s="47">
        <f>Z231*R231</f>
        <v>0</v>
      </c>
      <c r="AB231" s="149"/>
    </row>
    <row r="232" spans="1:28" ht="25.5">
      <c r="A232" s="133"/>
      <c r="B232" s="133"/>
      <c r="C232" s="153"/>
      <c r="D232" s="153"/>
      <c r="E232" s="58" t="s">
        <v>380</v>
      </c>
      <c r="F232" s="58">
        <v>90373</v>
      </c>
      <c r="G232" s="58" t="s">
        <v>26</v>
      </c>
      <c r="H232" s="59" t="s">
        <v>379</v>
      </c>
      <c r="I232" s="58" t="s">
        <v>24</v>
      </c>
      <c r="J232" s="57">
        <f>VLOOKUP(F232,'[1]Planilha Orçamentária'!B232:J609,5,FALSE)</f>
        <v>24</v>
      </c>
      <c r="K232" s="56">
        <f>VLOOKUP(F232,'[1]Planilha Orçamentária'!B233:J609,7,FALSE)*$K$1</f>
        <v>14.935216499999999</v>
      </c>
      <c r="L232" s="55">
        <f>K232*J232</f>
        <v>358.44519600000001</v>
      </c>
      <c r="M232" s="54">
        <f>L232/$O$8</f>
        <v>2.141864804613779E-4</v>
      </c>
      <c r="N232" s="131"/>
      <c r="O232" s="52"/>
      <c r="P232" s="51">
        <v>24</v>
      </c>
      <c r="Q232" s="50">
        <v>15.55</v>
      </c>
      <c r="R232" s="49">
        <v>373.2</v>
      </c>
      <c r="S232" s="48">
        <v>457.05803999999995</v>
      </c>
      <c r="T232" s="82">
        <v>0</v>
      </c>
      <c r="U232" s="44">
        <f>T232*K232</f>
        <v>0</v>
      </c>
      <c r="V232" s="152"/>
      <c r="W232" s="151">
        <f>T232</f>
        <v>0</v>
      </c>
      <c r="X232" s="44">
        <f>U232</f>
        <v>0</v>
      </c>
      <c r="Y232" s="150"/>
      <c r="Z232" s="82">
        <f>T232-W232</f>
        <v>0</v>
      </c>
      <c r="AA232" s="44">
        <f>Z232*R232</f>
        <v>0</v>
      </c>
      <c r="AB232" s="149"/>
    </row>
    <row r="233" spans="1:28" ht="25.5">
      <c r="A233" s="133"/>
      <c r="B233" s="133"/>
      <c r="C233" s="153"/>
      <c r="D233" s="153"/>
      <c r="E233" s="58" t="s">
        <v>378</v>
      </c>
      <c r="F233" s="58">
        <v>89396</v>
      </c>
      <c r="G233" s="58" t="s">
        <v>26</v>
      </c>
      <c r="H233" s="59" t="s">
        <v>377</v>
      </c>
      <c r="I233" s="58" t="s">
        <v>24</v>
      </c>
      <c r="J233" s="57">
        <f>VLOOKUP(F233,'[1]Planilha Orçamentária'!B233:J610,5,FALSE)</f>
        <v>5</v>
      </c>
      <c r="K233" s="56">
        <f>VLOOKUP(F233,'[1]Planilha Orçamentária'!B234:J610,7,FALSE)*$K$1</f>
        <v>23.036606999999997</v>
      </c>
      <c r="L233" s="55">
        <f>K233*J233</f>
        <v>115.18303499999999</v>
      </c>
      <c r="M233" s="54">
        <f>L233/$O$8</f>
        <v>6.8826836433622351E-5</v>
      </c>
      <c r="N233" s="131"/>
      <c r="O233" s="52"/>
      <c r="P233" s="51">
        <v>5</v>
      </c>
      <c r="Q233" s="50">
        <v>23.9</v>
      </c>
      <c r="R233" s="49">
        <v>119.5</v>
      </c>
      <c r="S233" s="48">
        <v>146.35164999999998</v>
      </c>
      <c r="T233" s="82">
        <v>0</v>
      </c>
      <c r="U233" s="44">
        <f>T233*K233</f>
        <v>0</v>
      </c>
      <c r="V233" s="152"/>
      <c r="W233" s="151">
        <f>T233</f>
        <v>0</v>
      </c>
      <c r="X233" s="44">
        <f>U233</f>
        <v>0</v>
      </c>
      <c r="Y233" s="150"/>
      <c r="Z233" s="82">
        <f>T233-W233</f>
        <v>0</v>
      </c>
      <c r="AA233" s="44">
        <f>Z233*R233</f>
        <v>0</v>
      </c>
      <c r="AB233" s="149"/>
    </row>
    <row r="234" spans="1:28" ht="25.5">
      <c r="A234" s="133"/>
      <c r="B234" s="133"/>
      <c r="C234" s="153"/>
      <c r="D234" s="153"/>
      <c r="E234" s="58" t="s">
        <v>376</v>
      </c>
      <c r="F234" s="58">
        <v>90374</v>
      </c>
      <c r="G234" s="58" t="s">
        <v>26</v>
      </c>
      <c r="H234" s="59" t="s">
        <v>375</v>
      </c>
      <c r="I234" s="58" t="s">
        <v>24</v>
      </c>
      <c r="J234" s="57">
        <f>VLOOKUP(F234,'[1]Planilha Orçamentária'!B234:J611,5,FALSE)</f>
        <v>1</v>
      </c>
      <c r="K234" s="56">
        <f>VLOOKUP(F234,'[1]Planilha Orçamentária'!B235:J611,7,FALSE)*$K$1</f>
        <v>24.974694750000001</v>
      </c>
      <c r="L234" s="55">
        <f>K234*J234</f>
        <v>24.974694750000001</v>
      </c>
      <c r="M234" s="54">
        <f>L234/$O$8</f>
        <v>1.4923458394180161E-5</v>
      </c>
      <c r="N234" s="131"/>
      <c r="O234" s="52"/>
      <c r="P234" s="51">
        <v>1</v>
      </c>
      <c r="Q234" s="50">
        <v>25.9</v>
      </c>
      <c r="R234" s="49">
        <v>25.9</v>
      </c>
      <c r="S234" s="48">
        <v>31.719729999999995</v>
      </c>
      <c r="T234" s="82">
        <v>0</v>
      </c>
      <c r="U234" s="44">
        <f>T234*K234</f>
        <v>0</v>
      </c>
      <c r="V234" s="152"/>
      <c r="W234" s="151">
        <f>T234</f>
        <v>0</v>
      </c>
      <c r="X234" s="44">
        <f>U234</f>
        <v>0</v>
      </c>
      <c r="Y234" s="150"/>
      <c r="Z234" s="82">
        <f>T234-W234</f>
        <v>0</v>
      </c>
      <c r="AA234" s="44">
        <f>Z234*R234</f>
        <v>0</v>
      </c>
      <c r="AB234" s="149"/>
    </row>
    <row r="235" spans="1:28" ht="25.5">
      <c r="A235" s="133"/>
      <c r="B235" s="133"/>
      <c r="C235" s="153"/>
      <c r="D235" s="153"/>
      <c r="E235" s="58" t="s">
        <v>374</v>
      </c>
      <c r="F235" s="58">
        <v>104779</v>
      </c>
      <c r="G235" s="58" t="s">
        <v>26</v>
      </c>
      <c r="H235" s="59" t="s">
        <v>373</v>
      </c>
      <c r="I235" s="58" t="s">
        <v>88</v>
      </c>
      <c r="J235" s="57">
        <f>VLOOKUP(F235,'[1]Planilha Orçamentária'!B235:J612,5,FALSE)</f>
        <v>64.900000000000006</v>
      </c>
      <c r="K235" s="56">
        <f>VLOOKUP(F235,'[1]Planilha Orçamentária'!B236:J612,7,FALSE)*$K$1</f>
        <v>8.0830199999999994</v>
      </c>
      <c r="L235" s="55">
        <f>K235*J235</f>
        <v>524.58799799999997</v>
      </c>
      <c r="M235" s="54">
        <f>L235/$O$8</f>
        <v>3.1346397786260289E-4</v>
      </c>
      <c r="N235" s="131"/>
      <c r="O235" s="52"/>
      <c r="P235" s="51">
        <v>64.900000000000006</v>
      </c>
      <c r="Q235" s="50">
        <v>8.76</v>
      </c>
      <c r="R235" s="49">
        <v>568.52</v>
      </c>
      <c r="S235" s="48">
        <v>696.26644399999986</v>
      </c>
      <c r="T235" s="82">
        <v>0</v>
      </c>
      <c r="U235" s="44">
        <f>T235*K235</f>
        <v>0</v>
      </c>
      <c r="V235" s="152"/>
      <c r="W235" s="151">
        <f>T235</f>
        <v>0</v>
      </c>
      <c r="X235" s="44">
        <f>U235</f>
        <v>0</v>
      </c>
      <c r="Y235" s="150"/>
      <c r="Z235" s="82">
        <f>T235-W235</f>
        <v>0</v>
      </c>
      <c r="AA235" s="44">
        <f>Z235*R235</f>
        <v>0</v>
      </c>
      <c r="AB235" s="149"/>
    </row>
    <row r="236" spans="1:28" ht="25.5">
      <c r="A236" s="133"/>
      <c r="B236" s="133"/>
      <c r="C236" s="153"/>
      <c r="D236" s="153"/>
      <c r="E236" s="58" t="s">
        <v>372</v>
      </c>
      <c r="F236" s="58">
        <v>90466</v>
      </c>
      <c r="G236" s="58" t="s">
        <v>26</v>
      </c>
      <c r="H236" s="59" t="s">
        <v>171</v>
      </c>
      <c r="I236" s="58" t="s">
        <v>88</v>
      </c>
      <c r="J236" s="57">
        <f>VLOOKUP(F236,'[1]Planilha Orçamentária'!B236:J613,5,FALSE)</f>
        <v>64.900000000000006</v>
      </c>
      <c r="K236" s="56">
        <f>VLOOKUP(F236,'[1]Planilha Orçamentária'!B237:J613,7,FALSE)*$K$1</f>
        <v>18.499093500000001</v>
      </c>
      <c r="L236" s="55">
        <f>K236*J236</f>
        <v>1200.5911681500002</v>
      </c>
      <c r="M236" s="54">
        <f>L236/$O$8</f>
        <v>7.174050584264572E-4</v>
      </c>
      <c r="N236" s="131"/>
      <c r="O236" s="52"/>
      <c r="P236" s="51">
        <v>64.900000000000006</v>
      </c>
      <c r="Q236" s="50">
        <v>19.75</v>
      </c>
      <c r="R236" s="49">
        <v>1281.77</v>
      </c>
      <c r="S236" s="48">
        <v>1569.7837189999998</v>
      </c>
      <c r="T236" s="82">
        <v>0</v>
      </c>
      <c r="U236" s="44">
        <f>T236*K236</f>
        <v>0</v>
      </c>
      <c r="V236" s="152"/>
      <c r="W236" s="151">
        <f>T236</f>
        <v>0</v>
      </c>
      <c r="X236" s="44">
        <f>U236</f>
        <v>0</v>
      </c>
      <c r="Y236" s="150"/>
      <c r="Z236" s="82">
        <f>T236-W236</f>
        <v>0</v>
      </c>
      <c r="AA236" s="44">
        <f>Z236*R236</f>
        <v>0</v>
      </c>
      <c r="AB236" s="149"/>
    </row>
    <row r="237" spans="1:28" ht="15" thickBot="1">
      <c r="A237" s="130"/>
      <c r="B237" s="130"/>
      <c r="C237" s="148"/>
      <c r="D237" s="148"/>
      <c r="E237" s="39" t="s">
        <v>371</v>
      </c>
      <c r="F237" s="39">
        <v>102607</v>
      </c>
      <c r="G237" s="39" t="s">
        <v>26</v>
      </c>
      <c r="H237" s="40" t="s">
        <v>370</v>
      </c>
      <c r="I237" s="39" t="s">
        <v>24</v>
      </c>
      <c r="J237" s="38">
        <f>VLOOKUP(F237,'[1]Planilha Orçamentária'!B237:J614,5,FALSE)</f>
        <v>2</v>
      </c>
      <c r="K237" s="37">
        <f>VLOOKUP(F237,'[1]Planilha Orçamentária'!B238:J614,7,FALSE)*$K$1</f>
        <v>412.99639574999992</v>
      </c>
      <c r="L237" s="36">
        <f>K237*J237</f>
        <v>825.99279149999984</v>
      </c>
      <c r="M237" s="35">
        <f>L237/$O$8</f>
        <v>4.9356635511402897E-4</v>
      </c>
      <c r="N237" s="128"/>
      <c r="O237" s="33"/>
      <c r="P237" s="51">
        <v>2</v>
      </c>
      <c r="Q237" s="50">
        <v>436.22</v>
      </c>
      <c r="R237" s="49">
        <v>872.44</v>
      </c>
      <c r="S237" s="48">
        <v>1068.4772679999999</v>
      </c>
      <c r="T237" s="27">
        <v>0</v>
      </c>
      <c r="U237" s="26">
        <f>T237*K237</f>
        <v>0</v>
      </c>
      <c r="V237" s="147"/>
      <c r="W237" s="146">
        <f>T237</f>
        <v>0</v>
      </c>
      <c r="X237" s="26">
        <f>U237</f>
        <v>0</v>
      </c>
      <c r="Y237" s="145"/>
      <c r="Z237" s="27">
        <f>T237-W237</f>
        <v>0</v>
      </c>
      <c r="AA237" s="26">
        <f>Z237*R237</f>
        <v>0</v>
      </c>
      <c r="AB237" s="144"/>
    </row>
    <row r="238" spans="1:28" ht="25.5" customHeight="1">
      <c r="A238" s="101" t="s">
        <v>369</v>
      </c>
      <c r="B238" s="101">
        <v>6</v>
      </c>
      <c r="C238" s="79" t="s">
        <v>368</v>
      </c>
      <c r="D238" s="79" t="s">
        <v>367</v>
      </c>
      <c r="E238" s="77" t="s">
        <v>366</v>
      </c>
      <c r="F238" s="77" t="s">
        <v>365</v>
      </c>
      <c r="G238" s="77" t="s">
        <v>33</v>
      </c>
      <c r="H238" s="78" t="s">
        <v>364</v>
      </c>
      <c r="I238" s="77" t="s">
        <v>24</v>
      </c>
      <c r="J238" s="76">
        <f>VLOOKUP(F238,'[1]Planilha Orçamentária'!B238:J615,5,FALSE)</f>
        <v>1</v>
      </c>
      <c r="K238" s="75">
        <f>VLOOKUP(F238,'[1]Planilha Orçamentária'!B239:J615,7,FALSE)*$K$1</f>
        <v>7986.8045062499996</v>
      </c>
      <c r="L238" s="74">
        <f>K238*J238</f>
        <v>7986.8045062499996</v>
      </c>
      <c r="M238" s="73">
        <f>L238/$O$8</f>
        <v>4.7724605223242005E-3</v>
      </c>
      <c r="N238" s="143">
        <f>SUM(L238:L240)</f>
        <v>18558.136286999998</v>
      </c>
      <c r="O238" s="111">
        <f>N238/$O$8</f>
        <v>1.1089287677983312E-2</v>
      </c>
      <c r="P238" s="97">
        <v>1</v>
      </c>
      <c r="Q238" s="50">
        <v>8695.26</v>
      </c>
      <c r="R238" s="49">
        <v>8695.26</v>
      </c>
      <c r="S238" s="48">
        <v>10649.084922</v>
      </c>
      <c r="T238" s="64">
        <v>0</v>
      </c>
      <c r="U238" s="66">
        <f>T238*K238</f>
        <v>0</v>
      </c>
      <c r="V238" s="125">
        <f>U238+U239+U240</f>
        <v>0</v>
      </c>
      <c r="W238" s="64">
        <f>T238</f>
        <v>0</v>
      </c>
      <c r="X238" s="66">
        <f>U238</f>
        <v>0</v>
      </c>
      <c r="Y238" s="125">
        <f>X238+X239+X240</f>
        <v>0</v>
      </c>
      <c r="Z238" s="64">
        <f>T238-W238</f>
        <v>0</v>
      </c>
      <c r="AA238" s="66">
        <f>L238-X238</f>
        <v>7986.8045062499996</v>
      </c>
      <c r="AB238" s="125">
        <f>AA238+AA239+AA240</f>
        <v>18558.136286999998</v>
      </c>
    </row>
    <row r="239" spans="1:28" ht="25.5">
      <c r="A239" s="98"/>
      <c r="B239" s="98"/>
      <c r="C239" s="60"/>
      <c r="D239" s="60"/>
      <c r="E239" s="58" t="s">
        <v>363</v>
      </c>
      <c r="F239" s="58" t="s">
        <v>362</v>
      </c>
      <c r="G239" s="58" t="s">
        <v>33</v>
      </c>
      <c r="H239" s="59" t="s">
        <v>361</v>
      </c>
      <c r="I239" s="58" t="s">
        <v>24</v>
      </c>
      <c r="J239" s="57">
        <f>VLOOKUP(F239,'[1]Planilha Orçamentária'!B239:J616,5,FALSE)</f>
        <v>1</v>
      </c>
      <c r="K239" s="56">
        <f>VLOOKUP(F239,'[1]Planilha Orçamentária'!B240:J616,7,FALSE)*$K$1</f>
        <v>7998.8922952499988</v>
      </c>
      <c r="L239" s="55">
        <f>K239*J239</f>
        <v>7998.8922952499988</v>
      </c>
      <c r="M239" s="54">
        <f>L239/$O$8</f>
        <v>4.7796834981413171E-3</v>
      </c>
      <c r="N239" s="142"/>
      <c r="O239" s="141"/>
      <c r="P239" s="97">
        <v>1</v>
      </c>
      <c r="Q239" s="50">
        <v>8708.42</v>
      </c>
      <c r="R239" s="49">
        <v>8708.42</v>
      </c>
      <c r="S239" s="48">
        <v>10665.201974</v>
      </c>
      <c r="T239" s="45">
        <v>0</v>
      </c>
      <c r="U239" s="47">
        <f>T239*K239</f>
        <v>0</v>
      </c>
      <c r="V239" s="123"/>
      <c r="W239" s="45">
        <f>T239</f>
        <v>0</v>
      </c>
      <c r="X239" s="47">
        <f>U239</f>
        <v>0</v>
      </c>
      <c r="Y239" s="123"/>
      <c r="Z239" s="45">
        <f>T239-W239</f>
        <v>0</v>
      </c>
      <c r="AA239" s="47">
        <f>L239-X239</f>
        <v>7998.8922952499988</v>
      </c>
      <c r="AB239" s="123"/>
    </row>
    <row r="240" spans="1:28" ht="26.25" thickBot="1">
      <c r="A240" s="104"/>
      <c r="B240" s="104"/>
      <c r="C240" s="41"/>
      <c r="D240" s="41"/>
      <c r="E240" s="39" t="s">
        <v>360</v>
      </c>
      <c r="F240" s="39">
        <v>97961</v>
      </c>
      <c r="G240" s="39" t="s">
        <v>26</v>
      </c>
      <c r="H240" s="40" t="s">
        <v>359</v>
      </c>
      <c r="I240" s="39" t="s">
        <v>24</v>
      </c>
      <c r="J240" s="38">
        <f>VLOOKUP(F240,'[1]Planilha Orçamentária'!B240:J617,5,FALSE)</f>
        <v>1</v>
      </c>
      <c r="K240" s="37">
        <f>VLOOKUP(F240,'[1]Planilha Orçamentária'!B241:J617,7,FALSE)*$K$1</f>
        <v>2572.4394855</v>
      </c>
      <c r="L240" s="36">
        <f>K240*J240</f>
        <v>2572.4394855</v>
      </c>
      <c r="M240" s="35">
        <f>L240/$O$8</f>
        <v>1.5371436575177947E-3</v>
      </c>
      <c r="N240" s="140"/>
      <c r="O240" s="109"/>
      <c r="P240" s="97">
        <v>1</v>
      </c>
      <c r="Q240" s="50">
        <v>2794.83</v>
      </c>
      <c r="R240" s="49">
        <v>2794.83</v>
      </c>
      <c r="S240" s="48">
        <v>3422.8283009999996</v>
      </c>
      <c r="T240" s="27">
        <v>0</v>
      </c>
      <c r="U240" s="26">
        <f>T240*K240</f>
        <v>0</v>
      </c>
      <c r="V240" s="121"/>
      <c r="W240" s="27">
        <f>T240</f>
        <v>0</v>
      </c>
      <c r="X240" s="26">
        <f>U240</f>
        <v>0</v>
      </c>
      <c r="Y240" s="121"/>
      <c r="Z240" s="27">
        <f>T240-W240</f>
        <v>0</v>
      </c>
      <c r="AA240" s="26">
        <f>L240-X240</f>
        <v>2572.4394855</v>
      </c>
      <c r="AB240" s="121"/>
    </row>
    <row r="241" spans="1:28" ht="25.5">
      <c r="A241" s="101" t="s">
        <v>358</v>
      </c>
      <c r="B241" s="101">
        <v>11</v>
      </c>
      <c r="C241" s="79" t="s">
        <v>357</v>
      </c>
      <c r="D241" s="79" t="s">
        <v>356</v>
      </c>
      <c r="E241" s="77" t="s">
        <v>355</v>
      </c>
      <c r="F241" s="77">
        <v>97327</v>
      </c>
      <c r="G241" s="77" t="s">
        <v>26</v>
      </c>
      <c r="H241" s="78" t="s">
        <v>354</v>
      </c>
      <c r="I241" s="77" t="s">
        <v>88</v>
      </c>
      <c r="J241" s="76">
        <f>VLOOKUP(F241,'[1]Planilha Orçamentária'!B241:J618,5,FALSE)</f>
        <v>120</v>
      </c>
      <c r="K241" s="75">
        <f>VLOOKUP(F241,'[1]Planilha Orçamentária'!B242:J618,7,FALSE)*$K$1</f>
        <v>26.820929999999997</v>
      </c>
      <c r="L241" s="74">
        <f>K241*J241</f>
        <v>3218.5115999999998</v>
      </c>
      <c r="M241" s="73">
        <f>L241/$O$8</f>
        <v>1.9231996400591127E-3</v>
      </c>
      <c r="N241" s="134">
        <f>SUM(L241:L250)</f>
        <v>79122.496690499989</v>
      </c>
      <c r="O241" s="71">
        <f>N241/$O$8</f>
        <v>4.7279107881962559E-2</v>
      </c>
      <c r="P241" s="51">
        <v>120</v>
      </c>
      <c r="Q241" s="50">
        <v>28.71</v>
      </c>
      <c r="R241" s="49">
        <v>3445.2</v>
      </c>
      <c r="S241" s="48">
        <v>4219.3364399999991</v>
      </c>
      <c r="T241" s="127">
        <v>0</v>
      </c>
      <c r="U241" s="63">
        <f>T241*K241</f>
        <v>0</v>
      </c>
      <c r="V241" s="62">
        <f>SUM(U241:U250)</f>
        <v>0</v>
      </c>
      <c r="W241" s="127">
        <f>T241</f>
        <v>0</v>
      </c>
      <c r="X241" s="63">
        <f>U241</f>
        <v>0</v>
      </c>
      <c r="Y241" s="62">
        <f>SUM(X241:X250)</f>
        <v>0</v>
      </c>
      <c r="Z241" s="127">
        <f>T241-W241</f>
        <v>0</v>
      </c>
      <c r="AA241" s="47">
        <f>L241-X241</f>
        <v>3218.5115999999998</v>
      </c>
      <c r="AB241" s="62">
        <f>SUM(AA241:AA250)</f>
        <v>79122.496690499989</v>
      </c>
    </row>
    <row r="242" spans="1:28" ht="25.5">
      <c r="A242" s="98"/>
      <c r="B242" s="98"/>
      <c r="C242" s="60"/>
      <c r="D242" s="60"/>
      <c r="E242" s="58" t="s">
        <v>353</v>
      </c>
      <c r="F242" s="58">
        <v>97328</v>
      </c>
      <c r="G242" s="58" t="s">
        <v>26</v>
      </c>
      <c r="H242" s="59" t="s">
        <v>352</v>
      </c>
      <c r="I242" s="58" t="s">
        <v>88</v>
      </c>
      <c r="J242" s="57">
        <f>VLOOKUP(F242,'[1]Planilha Orçamentária'!B242:J619,5,FALSE)</f>
        <v>80</v>
      </c>
      <c r="K242" s="56">
        <f>VLOOKUP(F242,'[1]Planilha Orçamentária'!B243:J619,7,FALSE)*$K$1</f>
        <v>43.832012999999996</v>
      </c>
      <c r="L242" s="55">
        <f>K242*J242</f>
        <v>3506.5610399999996</v>
      </c>
      <c r="M242" s="54">
        <f>L242/$O$8</f>
        <v>2.095321616977645E-3</v>
      </c>
      <c r="N242" s="131"/>
      <c r="O242" s="52"/>
      <c r="P242" s="51">
        <v>80</v>
      </c>
      <c r="Q242" s="50">
        <v>46.64</v>
      </c>
      <c r="R242" s="49">
        <v>3731.2</v>
      </c>
      <c r="S242" s="48">
        <v>4569.6006399999997</v>
      </c>
      <c r="T242" s="82">
        <v>0</v>
      </c>
      <c r="U242" s="44">
        <f>T242*K242</f>
        <v>0</v>
      </c>
      <c r="V242" s="43"/>
      <c r="W242" s="82">
        <f>T242</f>
        <v>0</v>
      </c>
      <c r="X242" s="44">
        <f>U242</f>
        <v>0</v>
      </c>
      <c r="Y242" s="43"/>
      <c r="Z242" s="82">
        <f>T242-W242</f>
        <v>0</v>
      </c>
      <c r="AA242" s="47">
        <f>L242-X242</f>
        <v>3506.5610399999996</v>
      </c>
      <c r="AB242" s="43"/>
    </row>
    <row r="243" spans="1:28" ht="25.5">
      <c r="A243" s="98"/>
      <c r="B243" s="98"/>
      <c r="C243" s="60"/>
      <c r="D243" s="60"/>
      <c r="E243" s="58" t="s">
        <v>351</v>
      </c>
      <c r="F243" s="58">
        <v>97329</v>
      </c>
      <c r="G243" s="58" t="s">
        <v>26</v>
      </c>
      <c r="H243" s="59" t="s">
        <v>350</v>
      </c>
      <c r="I243" s="58" t="s">
        <v>88</v>
      </c>
      <c r="J243" s="57">
        <f>VLOOKUP(F243,'[1]Planilha Orçamentária'!B243:J620,5,FALSE)</f>
        <v>46</v>
      </c>
      <c r="K243" s="56">
        <f>VLOOKUP(F243,'[1]Planilha Orçamentária'!B244:J620,7,FALSE)*$K$1</f>
        <v>55.726911749999992</v>
      </c>
      <c r="L243" s="55">
        <f>K243*J243</f>
        <v>2563.4379404999995</v>
      </c>
      <c r="M243" s="54">
        <f>L243/$O$8</f>
        <v>1.5317648457390902E-3</v>
      </c>
      <c r="N243" s="131"/>
      <c r="O243" s="52"/>
      <c r="P243" s="51">
        <v>46</v>
      </c>
      <c r="Q243" s="50">
        <v>59.48</v>
      </c>
      <c r="R243" s="49">
        <v>2736.08</v>
      </c>
      <c r="S243" s="48">
        <v>3350.8771759999995</v>
      </c>
      <c r="T243" s="82">
        <v>0</v>
      </c>
      <c r="U243" s="44">
        <f>T243*K243</f>
        <v>0</v>
      </c>
      <c r="V243" s="43"/>
      <c r="W243" s="82">
        <f>T243</f>
        <v>0</v>
      </c>
      <c r="X243" s="44">
        <f>U243</f>
        <v>0</v>
      </c>
      <c r="Y243" s="43"/>
      <c r="Z243" s="82">
        <f>T243-W243</f>
        <v>0</v>
      </c>
      <c r="AA243" s="47">
        <f>L243-X243</f>
        <v>2563.4379404999995</v>
      </c>
      <c r="AB243" s="43"/>
    </row>
    <row r="244" spans="1:28" ht="25.5">
      <c r="A244" s="98"/>
      <c r="B244" s="98"/>
      <c r="C244" s="60"/>
      <c r="D244" s="60"/>
      <c r="E244" s="58" t="s">
        <v>349</v>
      </c>
      <c r="F244" s="58" t="s">
        <v>348</v>
      </c>
      <c r="G244" s="58" t="s">
        <v>52</v>
      </c>
      <c r="H244" s="59" t="s">
        <v>347</v>
      </c>
      <c r="I244" s="58" t="s">
        <v>24</v>
      </c>
      <c r="J244" s="57">
        <f>VLOOKUP(F244,'[1]Planilha Orçamentária'!B244:J621,5,FALSE)</f>
        <v>16</v>
      </c>
      <c r="K244" s="56">
        <f>VLOOKUP(F244,'[1]Planilha Orçamentária'!B245:J621,7,FALSE)*$K$1</f>
        <v>92.798580749999999</v>
      </c>
      <c r="L244" s="55">
        <f>K244*J244</f>
        <v>1484.777292</v>
      </c>
      <c r="M244" s="54">
        <f>L244/$O$8</f>
        <v>8.8721853714690481E-4</v>
      </c>
      <c r="N244" s="131"/>
      <c r="O244" s="52"/>
      <c r="P244" s="51">
        <v>16</v>
      </c>
      <c r="Q244" s="50">
        <v>100.88999999999999</v>
      </c>
      <c r="R244" s="49">
        <v>1614.24</v>
      </c>
      <c r="S244" s="48">
        <v>1976.9597279999998</v>
      </c>
      <c r="T244" s="82">
        <v>0</v>
      </c>
      <c r="U244" s="44">
        <f>T244*K244</f>
        <v>0</v>
      </c>
      <c r="V244" s="43"/>
      <c r="W244" s="82">
        <f>T244</f>
        <v>0</v>
      </c>
      <c r="X244" s="44">
        <f>U244</f>
        <v>0</v>
      </c>
      <c r="Y244" s="43"/>
      <c r="Z244" s="82">
        <f>T244-W244</f>
        <v>0</v>
      </c>
      <c r="AA244" s="47">
        <f>L244-X244</f>
        <v>1484.777292</v>
      </c>
      <c r="AB244" s="43"/>
    </row>
    <row r="245" spans="1:28">
      <c r="A245" s="98"/>
      <c r="B245" s="98"/>
      <c r="C245" s="60"/>
      <c r="D245" s="60"/>
      <c r="E245" s="58" t="s">
        <v>346</v>
      </c>
      <c r="F245" s="58">
        <v>34627</v>
      </c>
      <c r="G245" s="58" t="s">
        <v>26</v>
      </c>
      <c r="H245" s="59" t="s">
        <v>345</v>
      </c>
      <c r="I245" s="58" t="s">
        <v>88</v>
      </c>
      <c r="J245" s="57">
        <f>VLOOKUP(F245,'[1]Planilha Orçamentária'!B245:J622,5,FALSE)</f>
        <v>160</v>
      </c>
      <c r="K245" s="56">
        <f>VLOOKUP(F245,'[1]Planilha Orçamentária'!B246:J622,7,FALSE)*$K$1</f>
        <v>17.589753749999996</v>
      </c>
      <c r="L245" s="55">
        <f>K245*J245</f>
        <v>2814.3605999999995</v>
      </c>
      <c r="M245" s="54">
        <f>L245/$O$8</f>
        <v>1.6817019683621919E-3</v>
      </c>
      <c r="N245" s="131"/>
      <c r="O245" s="52"/>
      <c r="P245" s="51">
        <v>160</v>
      </c>
      <c r="Q245" s="50">
        <v>17.59</v>
      </c>
      <c r="R245" s="49">
        <v>2814.4</v>
      </c>
      <c r="S245" s="48">
        <v>3446.7956799999997</v>
      </c>
      <c r="T245" s="82">
        <v>0</v>
      </c>
      <c r="U245" s="44">
        <f>T245*K245</f>
        <v>0</v>
      </c>
      <c r="V245" s="43"/>
      <c r="W245" s="82">
        <f>T245</f>
        <v>0</v>
      </c>
      <c r="X245" s="44">
        <f>U245</f>
        <v>0</v>
      </c>
      <c r="Y245" s="43"/>
      <c r="Z245" s="82">
        <f>T245-W245</f>
        <v>0</v>
      </c>
      <c r="AA245" s="47">
        <f>L245-X245</f>
        <v>2814.3605999999995</v>
      </c>
      <c r="AB245" s="43"/>
    </row>
    <row r="246" spans="1:28" ht="25.5">
      <c r="A246" s="98"/>
      <c r="B246" s="98"/>
      <c r="C246" s="60"/>
      <c r="D246" s="60"/>
      <c r="E246" s="58" t="s">
        <v>344</v>
      </c>
      <c r="F246" s="58">
        <v>103244</v>
      </c>
      <c r="G246" s="58" t="s">
        <v>26</v>
      </c>
      <c r="H246" s="59" t="s">
        <v>343</v>
      </c>
      <c r="I246" s="58" t="s">
        <v>24</v>
      </c>
      <c r="J246" s="57">
        <f>VLOOKUP(F246,'[1]Planilha Orçamentária'!B246:J623,5,FALSE)</f>
        <v>1</v>
      </c>
      <c r="K246" s="56">
        <f>VLOOKUP(F246,'[1]Planilha Orçamentária'!B247:J623,7,FALSE)*$K$1</f>
        <v>2622.1592437499999</v>
      </c>
      <c r="L246" s="55">
        <f>K246*J246</f>
        <v>2622.1592437499999</v>
      </c>
      <c r="M246" s="54">
        <f>L246/$O$8</f>
        <v>1.5668533597199634E-3</v>
      </c>
      <c r="N246" s="131"/>
      <c r="O246" s="52"/>
      <c r="P246" s="51">
        <v>1</v>
      </c>
      <c r="Q246" s="50">
        <v>2992.31</v>
      </c>
      <c r="R246" s="49">
        <v>2992.31</v>
      </c>
      <c r="S246" s="48">
        <v>3664.6820569999995</v>
      </c>
      <c r="T246" s="82">
        <v>0</v>
      </c>
      <c r="U246" s="44">
        <f>T246*K246</f>
        <v>0</v>
      </c>
      <c r="V246" s="43"/>
      <c r="W246" s="82">
        <f>T246</f>
        <v>0</v>
      </c>
      <c r="X246" s="44">
        <f>U246</f>
        <v>0</v>
      </c>
      <c r="Y246" s="43"/>
      <c r="Z246" s="82">
        <f>T246-W246</f>
        <v>0</v>
      </c>
      <c r="AA246" s="47">
        <f>L246-X246</f>
        <v>2622.1592437499999</v>
      </c>
      <c r="AB246" s="43"/>
    </row>
    <row r="247" spans="1:28" ht="25.5">
      <c r="A247" s="98"/>
      <c r="B247" s="98"/>
      <c r="C247" s="60"/>
      <c r="D247" s="60"/>
      <c r="E247" s="58" t="s">
        <v>342</v>
      </c>
      <c r="F247" s="58">
        <v>103247</v>
      </c>
      <c r="G247" s="58" t="s">
        <v>26</v>
      </c>
      <c r="H247" s="59" t="s">
        <v>341</v>
      </c>
      <c r="I247" s="58" t="s">
        <v>24</v>
      </c>
      <c r="J247" s="57">
        <f>VLOOKUP(F247,'[1]Planilha Orçamentária'!B247:J624,5,FALSE)</f>
        <v>5</v>
      </c>
      <c r="K247" s="56">
        <f>VLOOKUP(F247,'[1]Planilha Orçamentária'!B248:J624,7,FALSE)*$K$1</f>
        <v>2910.5760937499999</v>
      </c>
      <c r="L247" s="55">
        <f>K247*J247</f>
        <v>14552.88046875</v>
      </c>
      <c r="M247" s="54">
        <f>L247/$O$8</f>
        <v>8.6959743998820116E-3</v>
      </c>
      <c r="N247" s="131"/>
      <c r="O247" s="52"/>
      <c r="P247" s="51">
        <v>5</v>
      </c>
      <c r="Q247" s="50">
        <v>3323.52</v>
      </c>
      <c r="R247" s="49">
        <v>16617.599999999999</v>
      </c>
      <c r="S247" s="48">
        <v>20351.574719999997</v>
      </c>
      <c r="T247" s="82">
        <v>0</v>
      </c>
      <c r="U247" s="44">
        <f>T247*K247</f>
        <v>0</v>
      </c>
      <c r="V247" s="43"/>
      <c r="W247" s="82">
        <f>T247</f>
        <v>0</v>
      </c>
      <c r="X247" s="44">
        <f>U247</f>
        <v>0</v>
      </c>
      <c r="Y247" s="43"/>
      <c r="Z247" s="82">
        <f>T247-W247</f>
        <v>0</v>
      </c>
      <c r="AA247" s="47">
        <f>L247-X247</f>
        <v>14552.88046875</v>
      </c>
      <c r="AB247" s="43"/>
    </row>
    <row r="248" spans="1:28" ht="25.5">
      <c r="A248" s="98"/>
      <c r="B248" s="98"/>
      <c r="C248" s="60"/>
      <c r="D248" s="60"/>
      <c r="E248" s="58" t="s">
        <v>340</v>
      </c>
      <c r="F248" s="58">
        <v>103250</v>
      </c>
      <c r="G248" s="58" t="s">
        <v>26</v>
      </c>
      <c r="H248" s="59" t="s">
        <v>339</v>
      </c>
      <c r="I248" s="58" t="s">
        <v>24</v>
      </c>
      <c r="J248" s="57">
        <f>VLOOKUP(F248,'[1]Planilha Orçamentária'!B248:J625,5,FALSE)</f>
        <v>2</v>
      </c>
      <c r="K248" s="56">
        <f>VLOOKUP(F248,'[1]Planilha Orçamentária'!B249:J625,7,FALSE)*$K$1</f>
        <v>4229.642290499999</v>
      </c>
      <c r="L248" s="55">
        <f>K248*J248</f>
        <v>8459.2845809999981</v>
      </c>
      <c r="M248" s="54">
        <f>L248/$O$8</f>
        <v>5.0547877662882428E-3</v>
      </c>
      <c r="N248" s="131"/>
      <c r="O248" s="52"/>
      <c r="P248" s="51">
        <v>2</v>
      </c>
      <c r="Q248" s="50">
        <v>4837.18</v>
      </c>
      <c r="R248" s="49">
        <v>9674.36</v>
      </c>
      <c r="S248" s="48">
        <v>11848.188692</v>
      </c>
      <c r="T248" s="82">
        <v>0</v>
      </c>
      <c r="U248" s="44">
        <f>T248*K248</f>
        <v>0</v>
      </c>
      <c r="V248" s="43"/>
      <c r="W248" s="82">
        <f>T248</f>
        <v>0</v>
      </c>
      <c r="X248" s="44">
        <f>U248</f>
        <v>0</v>
      </c>
      <c r="Y248" s="43"/>
      <c r="Z248" s="82">
        <f>T248-W248</f>
        <v>0</v>
      </c>
      <c r="AA248" s="47">
        <f>L248-X248</f>
        <v>8459.2845809999981</v>
      </c>
      <c r="AB248" s="43"/>
    </row>
    <row r="249" spans="1:28" ht="25.5">
      <c r="A249" s="98"/>
      <c r="B249" s="98"/>
      <c r="C249" s="60"/>
      <c r="D249" s="60"/>
      <c r="E249" s="58" t="s">
        <v>338</v>
      </c>
      <c r="F249" s="58">
        <v>103253</v>
      </c>
      <c r="G249" s="58" t="s">
        <v>26</v>
      </c>
      <c r="H249" s="59" t="s">
        <v>337</v>
      </c>
      <c r="I249" s="58" t="s">
        <v>24</v>
      </c>
      <c r="J249" s="57">
        <f>VLOOKUP(F249,'[1]Planilha Orçamentária'!B249:J626,5,FALSE)</f>
        <v>3</v>
      </c>
      <c r="K249" s="56">
        <f>VLOOKUP(F249,'[1]Planilha Orçamentária'!B250:J626,7,FALSE)*$K$1</f>
        <v>5766.8306189999994</v>
      </c>
      <c r="L249" s="55">
        <f>K249*J249</f>
        <v>17300.491856999997</v>
      </c>
      <c r="M249" s="54">
        <f>L249/$O$8</f>
        <v>1.0337790832330076E-2</v>
      </c>
      <c r="N249" s="131"/>
      <c r="O249" s="52"/>
      <c r="P249" s="51">
        <v>3</v>
      </c>
      <c r="Q249" s="50">
        <v>6601.78</v>
      </c>
      <c r="R249" s="49">
        <v>19805.34</v>
      </c>
      <c r="S249" s="48">
        <v>24255.599897999997</v>
      </c>
      <c r="T249" s="82">
        <v>0</v>
      </c>
      <c r="U249" s="44">
        <f>T249*K249</f>
        <v>0</v>
      </c>
      <c r="V249" s="43"/>
      <c r="W249" s="82">
        <f>T249</f>
        <v>0</v>
      </c>
      <c r="X249" s="44">
        <f>U249</f>
        <v>0</v>
      </c>
      <c r="Y249" s="43"/>
      <c r="Z249" s="82">
        <f>T249-W249</f>
        <v>0</v>
      </c>
      <c r="AA249" s="47">
        <f>L249-X249</f>
        <v>17300.491856999997</v>
      </c>
      <c r="AB249" s="43"/>
    </row>
    <row r="250" spans="1:28" ht="26.25" thickBot="1">
      <c r="A250" s="104"/>
      <c r="B250" s="104"/>
      <c r="C250" s="41"/>
      <c r="D250" s="41"/>
      <c r="E250" s="39" t="s">
        <v>336</v>
      </c>
      <c r="F250" s="39">
        <v>103265</v>
      </c>
      <c r="G250" s="39" t="s">
        <v>26</v>
      </c>
      <c r="H250" s="40" t="s">
        <v>335</v>
      </c>
      <c r="I250" s="39" t="s">
        <v>24</v>
      </c>
      <c r="J250" s="38">
        <f>VLOOKUP(F250,'[1]Planilha Orçamentária'!B250:J627,5,FALSE)</f>
        <v>1</v>
      </c>
      <c r="K250" s="37">
        <f>VLOOKUP(F250,'[1]Planilha Orçamentária'!B251:J627,7,FALSE)*$K$1</f>
        <v>22600.0320675</v>
      </c>
      <c r="L250" s="36">
        <f>K250*J250</f>
        <v>22600.0320675</v>
      </c>
      <c r="M250" s="35">
        <f>L250/$O$8</f>
        <v>1.3504494915457322E-2</v>
      </c>
      <c r="N250" s="128"/>
      <c r="O250" s="33"/>
      <c r="P250" s="51">
        <v>1</v>
      </c>
      <c r="Q250" s="50">
        <v>25902.560000000001</v>
      </c>
      <c r="R250" s="49">
        <v>25902.560000000001</v>
      </c>
      <c r="S250" s="48">
        <v>31722.865232</v>
      </c>
      <c r="T250" s="27">
        <v>0</v>
      </c>
      <c r="U250" s="26">
        <f>T250*K250</f>
        <v>0</v>
      </c>
      <c r="V250" s="25"/>
      <c r="W250" s="27">
        <f>T250</f>
        <v>0</v>
      </c>
      <c r="X250" s="26">
        <f>U250</f>
        <v>0</v>
      </c>
      <c r="Y250" s="25"/>
      <c r="Z250" s="27">
        <f>T250-W250</f>
        <v>0</v>
      </c>
      <c r="AA250" s="47">
        <f>L250-X250</f>
        <v>22600.0320675</v>
      </c>
      <c r="AB250" s="25"/>
    </row>
    <row r="251" spans="1:28" ht="25.5">
      <c r="A251" s="101" t="s">
        <v>334</v>
      </c>
      <c r="B251" s="101">
        <v>12</v>
      </c>
      <c r="C251" s="79" t="s">
        <v>333</v>
      </c>
      <c r="D251" s="79" t="s">
        <v>332</v>
      </c>
      <c r="E251" s="77" t="s">
        <v>331</v>
      </c>
      <c r="F251" s="77" t="s">
        <v>330</v>
      </c>
      <c r="G251" s="77" t="s">
        <v>33</v>
      </c>
      <c r="H251" s="78" t="s">
        <v>329</v>
      </c>
      <c r="I251" s="77" t="s">
        <v>24</v>
      </c>
      <c r="J251" s="76">
        <f>VLOOKUP(F251,'[1]Planilha Orçamentária'!B251:J628,5,FALSE)</f>
        <v>8</v>
      </c>
      <c r="K251" s="75">
        <f>VLOOKUP(F251,'[1]Planilha Orçamentária'!B252:J628,7,FALSE)*$K$1</f>
        <v>352.89730499999996</v>
      </c>
      <c r="L251" s="74">
        <f>K251*J251</f>
        <v>2823.1784399999997</v>
      </c>
      <c r="M251" s="73">
        <f>L251/$O$8</f>
        <v>1.686971008471943E-3</v>
      </c>
      <c r="N251" s="134">
        <f>SUM(L251:L255)</f>
        <v>16012.922801025001</v>
      </c>
      <c r="O251" s="71">
        <f>N251/$O$8</f>
        <v>9.5684127306627214E-3</v>
      </c>
      <c r="P251" s="51">
        <v>8</v>
      </c>
      <c r="Q251" s="50">
        <v>399.75</v>
      </c>
      <c r="R251" s="49">
        <v>3198</v>
      </c>
      <c r="S251" s="48">
        <v>3916.5905999999995</v>
      </c>
      <c r="T251" s="64">
        <v>0</v>
      </c>
      <c r="U251" s="66">
        <f>T251*K251</f>
        <v>0</v>
      </c>
      <c r="V251" s="99">
        <f>U251+U252+U253+U254+U255+U256</f>
        <v>0</v>
      </c>
      <c r="W251" s="64">
        <f>T251</f>
        <v>0</v>
      </c>
      <c r="X251" s="66">
        <f>U251</f>
        <v>0</v>
      </c>
      <c r="Y251" s="99">
        <f>X251+X252+X253+X254+X255+X256</f>
        <v>0</v>
      </c>
      <c r="Z251" s="64">
        <f>T251-W251</f>
        <v>0</v>
      </c>
      <c r="AA251" s="66">
        <f>L251-X251</f>
        <v>2823.1784399999997</v>
      </c>
      <c r="AB251" s="99">
        <f>AA251+AA252+AA253+AA254+AA255+AA256</f>
        <v>17090.995593525</v>
      </c>
    </row>
    <row r="252" spans="1:28" ht="25.5">
      <c r="A252" s="98"/>
      <c r="B252" s="98"/>
      <c r="C252" s="60"/>
      <c r="D252" s="60"/>
      <c r="E252" s="58" t="s">
        <v>328</v>
      </c>
      <c r="F252" s="58" t="s">
        <v>327</v>
      </c>
      <c r="G252" s="58" t="s">
        <v>33</v>
      </c>
      <c r="H252" s="59" t="s">
        <v>326</v>
      </c>
      <c r="I252" s="58" t="s">
        <v>24</v>
      </c>
      <c r="J252" s="57">
        <f>VLOOKUP(F252,'[1]Planilha Orçamentária'!B252:J629,5,FALSE)</f>
        <v>1</v>
      </c>
      <c r="K252" s="56">
        <f>VLOOKUP(F252,'[1]Planilha Orçamentária'!B253:J629,7,FALSE)*$K$1</f>
        <v>442.77497625000001</v>
      </c>
      <c r="L252" s="55">
        <f>K252*J252</f>
        <v>442.77497625000001</v>
      </c>
      <c r="M252" s="54">
        <f>L252/$O$8</f>
        <v>2.6457716509431945E-4</v>
      </c>
      <c r="N252" s="131"/>
      <c r="O252" s="52"/>
      <c r="P252" s="51">
        <v>1</v>
      </c>
      <c r="Q252" s="50">
        <v>523.35</v>
      </c>
      <c r="R252" s="49">
        <v>523.35</v>
      </c>
      <c r="S252" s="48">
        <v>640.94674499999996</v>
      </c>
      <c r="T252" s="45">
        <v>0</v>
      </c>
      <c r="U252" s="47">
        <f>T252*K252</f>
        <v>0</v>
      </c>
      <c r="V252" s="81"/>
      <c r="W252" s="45">
        <f>T252</f>
        <v>0</v>
      </c>
      <c r="X252" s="47">
        <f>U252</f>
        <v>0</v>
      </c>
      <c r="Y252" s="81"/>
      <c r="Z252" s="45">
        <f>T252-W252</f>
        <v>0</v>
      </c>
      <c r="AA252" s="47">
        <f>L252-X252</f>
        <v>442.77497625000001</v>
      </c>
      <c r="AB252" s="81"/>
    </row>
    <row r="253" spans="1:28" ht="25.5">
      <c r="A253" s="98"/>
      <c r="B253" s="98"/>
      <c r="C253" s="60"/>
      <c r="D253" s="60"/>
      <c r="E253" s="58" t="s">
        <v>325</v>
      </c>
      <c r="F253" s="58" t="s">
        <v>324</v>
      </c>
      <c r="G253" s="58" t="s">
        <v>52</v>
      </c>
      <c r="H253" s="59" t="s">
        <v>323</v>
      </c>
      <c r="I253" s="58" t="s">
        <v>24</v>
      </c>
      <c r="J253" s="57">
        <f>VLOOKUP(F253,'[1]Planilha Orçamentária'!B253:J630,5,FALSE)</f>
        <v>1</v>
      </c>
      <c r="K253" s="56">
        <f>VLOOKUP(F253,'[1]Planilha Orçamentária'!B254:J630,7,FALSE)*$K$1</f>
        <v>2909.8137179999999</v>
      </c>
      <c r="L253" s="55">
        <f>K253*J253</f>
        <v>2909.8137179999999</v>
      </c>
      <c r="M253" s="54">
        <f>L253/$O$8</f>
        <v>1.7387393275502467E-3</v>
      </c>
      <c r="N253" s="131"/>
      <c r="O253" s="52"/>
      <c r="P253" s="51">
        <v>1</v>
      </c>
      <c r="Q253" s="50">
        <v>3165.4</v>
      </c>
      <c r="R253" s="49">
        <v>3165.4</v>
      </c>
      <c r="S253" s="48">
        <v>3876.6653799999999</v>
      </c>
      <c r="T253" s="82">
        <v>0</v>
      </c>
      <c r="U253" s="44">
        <f>T253*K253</f>
        <v>0</v>
      </c>
      <c r="V253" s="81"/>
      <c r="W253" s="82">
        <f>T253</f>
        <v>0</v>
      </c>
      <c r="X253" s="44">
        <f>U253</f>
        <v>0</v>
      </c>
      <c r="Y253" s="81"/>
      <c r="Z253" s="82">
        <f>T253-W253</f>
        <v>0</v>
      </c>
      <c r="AA253" s="47">
        <f>L253-X253</f>
        <v>2909.8137179999999</v>
      </c>
      <c r="AB253" s="81"/>
    </row>
    <row r="254" spans="1:28" ht="51">
      <c r="A254" s="98"/>
      <c r="B254" s="98"/>
      <c r="C254" s="60"/>
      <c r="D254" s="60"/>
      <c r="E254" s="58" t="s">
        <v>322</v>
      </c>
      <c r="F254" s="58" t="s">
        <v>321</v>
      </c>
      <c r="G254" s="58" t="s">
        <v>33</v>
      </c>
      <c r="H254" s="59" t="s">
        <v>320</v>
      </c>
      <c r="I254" s="58" t="s">
        <v>319</v>
      </c>
      <c r="J254" s="57">
        <f>VLOOKUP(F254,'[1]Planilha Orçamentária'!B254:J631,5,FALSE)</f>
        <v>138.1</v>
      </c>
      <c r="K254" s="56">
        <f>VLOOKUP(F254,'[1]Planilha Orçamentária'!B255:J631,7,FALSE)*$K$1</f>
        <v>60.172572750000008</v>
      </c>
      <c r="L254" s="55">
        <f>K254*J254</f>
        <v>8309.8322967750009</v>
      </c>
      <c r="M254" s="54">
        <f>L254/$O$8</f>
        <v>4.9654835738697578E-3</v>
      </c>
      <c r="N254" s="131"/>
      <c r="O254" s="52"/>
      <c r="P254" s="51">
        <v>138.1</v>
      </c>
      <c r="Q254" s="50">
        <v>64.38</v>
      </c>
      <c r="R254" s="49">
        <v>8890.8700000000008</v>
      </c>
      <c r="S254" s="48">
        <v>10888.648488999999</v>
      </c>
      <c r="T254" s="82">
        <v>0</v>
      </c>
      <c r="U254" s="44">
        <f>T254*K254</f>
        <v>0</v>
      </c>
      <c r="V254" s="81"/>
      <c r="W254" s="82">
        <f>T254</f>
        <v>0</v>
      </c>
      <c r="X254" s="44">
        <f>U254</f>
        <v>0</v>
      </c>
      <c r="Y254" s="81"/>
      <c r="Z254" s="82">
        <f>T254-W254</f>
        <v>0</v>
      </c>
      <c r="AA254" s="47">
        <f>L254-X254</f>
        <v>8309.8322967750009</v>
      </c>
      <c r="AB254" s="81"/>
    </row>
    <row r="255" spans="1:28" ht="15" thickBot="1">
      <c r="A255" s="104"/>
      <c r="B255" s="104"/>
      <c r="C255" s="41"/>
      <c r="D255" s="41"/>
      <c r="E255" s="39" t="s">
        <v>318</v>
      </c>
      <c r="F255" s="39" t="s">
        <v>317</v>
      </c>
      <c r="G255" s="39" t="s">
        <v>52</v>
      </c>
      <c r="H255" s="40" t="s">
        <v>316</v>
      </c>
      <c r="I255" s="39" t="s">
        <v>24</v>
      </c>
      <c r="J255" s="38">
        <f>VLOOKUP(F255,'[1]Planilha Orçamentária'!B255:J632,5,FALSE)</f>
        <v>20</v>
      </c>
      <c r="K255" s="37">
        <f>VLOOKUP(F255,'[1]Planilha Orçamentária'!B256:J632,7,FALSE)*$K$1</f>
        <v>76.366168500000001</v>
      </c>
      <c r="L255" s="36">
        <f>K255*J255</f>
        <v>1527.3233700000001</v>
      </c>
      <c r="M255" s="35">
        <f>L255/$O$8</f>
        <v>9.126416556764534E-4</v>
      </c>
      <c r="N255" s="128"/>
      <c r="O255" s="33"/>
      <c r="P255" s="51">
        <v>20</v>
      </c>
      <c r="Q255" s="50">
        <v>83.41</v>
      </c>
      <c r="R255" s="49">
        <v>1668.2</v>
      </c>
      <c r="S255" s="48">
        <v>2043.0445399999999</v>
      </c>
      <c r="T255" s="27">
        <v>0</v>
      </c>
      <c r="U255" s="26">
        <f>T255*K255</f>
        <v>0</v>
      </c>
      <c r="V255" s="102"/>
      <c r="W255" s="27">
        <f>T255</f>
        <v>0</v>
      </c>
      <c r="X255" s="26">
        <f>U255</f>
        <v>0</v>
      </c>
      <c r="Y255" s="102"/>
      <c r="Z255" s="27">
        <f>T255-W255</f>
        <v>0</v>
      </c>
      <c r="AA255" s="26">
        <f>L255-X255</f>
        <v>1527.3233700000001</v>
      </c>
      <c r="AB255" s="102"/>
    </row>
    <row r="256" spans="1:28" ht="63.75">
      <c r="A256" s="101" t="s">
        <v>315</v>
      </c>
      <c r="B256" s="101">
        <v>11</v>
      </c>
      <c r="C256" s="79" t="s">
        <v>314</v>
      </c>
      <c r="D256" s="79" t="s">
        <v>313</v>
      </c>
      <c r="E256" s="77" t="s">
        <v>312</v>
      </c>
      <c r="F256" s="77" t="s">
        <v>311</v>
      </c>
      <c r="G256" s="77" t="s">
        <v>33</v>
      </c>
      <c r="H256" s="78" t="s">
        <v>310</v>
      </c>
      <c r="I256" s="77" t="s">
        <v>24</v>
      </c>
      <c r="J256" s="76">
        <f>VLOOKUP(F256,'[1]Planilha Orçamentária'!B256:J633,5,FALSE)</f>
        <v>1</v>
      </c>
      <c r="K256" s="75">
        <f>VLOOKUP(F256,'[1]Planilha Orçamentária'!B257:J633,7,FALSE)*$K$1</f>
        <v>1078.0727925000001</v>
      </c>
      <c r="L256" s="74">
        <f>K256*J256</f>
        <v>1078.0727925000001</v>
      </c>
      <c r="M256" s="73">
        <f>L256/$O$8</f>
        <v>6.4419503925153569E-4</v>
      </c>
      <c r="N256" s="143">
        <f>SUM(L256:L258)</f>
        <v>2190.6086430000005</v>
      </c>
      <c r="O256" s="111">
        <f>N256/$O$8</f>
        <v>1.3089832435986817E-3</v>
      </c>
      <c r="P256" s="97">
        <v>1</v>
      </c>
      <c r="Q256" s="50">
        <v>1177.6500000000001</v>
      </c>
      <c r="R256" s="49">
        <v>1177.6500000000001</v>
      </c>
      <c r="S256" s="48">
        <v>1442.267955</v>
      </c>
      <c r="T256" s="64">
        <v>0</v>
      </c>
      <c r="U256" s="66">
        <f>T256*K256</f>
        <v>0</v>
      </c>
      <c r="V256" s="125">
        <f>U256+U257+U258</f>
        <v>0</v>
      </c>
      <c r="W256" s="64">
        <f>T256</f>
        <v>0</v>
      </c>
      <c r="X256" s="66">
        <f>U256</f>
        <v>0</v>
      </c>
      <c r="Y256" s="125">
        <f>X256+X257+X258</f>
        <v>0</v>
      </c>
      <c r="Z256" s="64">
        <f>T256-W256</f>
        <v>0</v>
      </c>
      <c r="AA256" s="66">
        <f>L256-X256</f>
        <v>1078.0727925000001</v>
      </c>
      <c r="AB256" s="125">
        <f>AA256+AA257+AA258</f>
        <v>2190.6086430000005</v>
      </c>
    </row>
    <row r="257" spans="1:28" ht="25.5">
      <c r="A257" s="98"/>
      <c r="B257" s="98"/>
      <c r="C257" s="60"/>
      <c r="D257" s="60"/>
      <c r="E257" s="58" t="s">
        <v>309</v>
      </c>
      <c r="F257" s="58" t="s">
        <v>308</v>
      </c>
      <c r="G257" s="58" t="s">
        <v>33</v>
      </c>
      <c r="H257" s="59" t="s">
        <v>307</v>
      </c>
      <c r="I257" s="58" t="s">
        <v>24</v>
      </c>
      <c r="J257" s="57">
        <f>VLOOKUP(F257,'[1]Planilha Orçamentária'!B257:J634,5,FALSE)</f>
        <v>1</v>
      </c>
      <c r="K257" s="56">
        <f>VLOOKUP(F257,'[1]Planilha Orçamentária'!B258:J634,7,FALSE)*$K$1</f>
        <v>1033.52433</v>
      </c>
      <c r="L257" s="55">
        <f>K257*J257</f>
        <v>1033.52433</v>
      </c>
      <c r="M257" s="54">
        <f>L257/$O$8</f>
        <v>6.1757540953039775E-4</v>
      </c>
      <c r="N257" s="142"/>
      <c r="O257" s="141"/>
      <c r="P257" s="97">
        <v>1</v>
      </c>
      <c r="Q257" s="50">
        <v>1125.54</v>
      </c>
      <c r="R257" s="49">
        <v>1125.54</v>
      </c>
      <c r="S257" s="48">
        <v>1378.4488379999998</v>
      </c>
      <c r="T257" s="45">
        <v>0</v>
      </c>
      <c r="U257" s="47">
        <f>T257*K257</f>
        <v>0</v>
      </c>
      <c r="V257" s="123"/>
      <c r="W257" s="45">
        <f>T257</f>
        <v>0</v>
      </c>
      <c r="X257" s="47">
        <f>U257</f>
        <v>0</v>
      </c>
      <c r="Y257" s="123"/>
      <c r="Z257" s="45">
        <f>T257-W257</f>
        <v>0</v>
      </c>
      <c r="AA257" s="47">
        <f>L257-X257</f>
        <v>1033.52433</v>
      </c>
      <c r="AB257" s="123"/>
    </row>
    <row r="258" spans="1:28" ht="15" thickBot="1">
      <c r="A258" s="104"/>
      <c r="B258" s="104"/>
      <c r="C258" s="41"/>
      <c r="D258" s="41"/>
      <c r="E258" s="39" t="s">
        <v>306</v>
      </c>
      <c r="F258" s="39">
        <v>863</v>
      </c>
      <c r="G258" s="39" t="s">
        <v>26</v>
      </c>
      <c r="H258" s="40" t="s">
        <v>305</v>
      </c>
      <c r="I258" s="39" t="s">
        <v>88</v>
      </c>
      <c r="J258" s="38">
        <f>VLOOKUP(F258,'[1]Planilha Orçamentária'!B258:J635,5,FALSE)</f>
        <v>2.2000000000000002</v>
      </c>
      <c r="K258" s="37">
        <f>VLOOKUP(F258,'[1]Planilha Orçamentária'!B259:J635,7,FALSE)*$K$1</f>
        <v>35.914327499999999</v>
      </c>
      <c r="L258" s="36">
        <f>K258*J258</f>
        <v>79.011520500000003</v>
      </c>
      <c r="M258" s="35">
        <f>L258/$O$8</f>
        <v>4.7212794816747969E-5</v>
      </c>
      <c r="N258" s="140"/>
      <c r="O258" s="109"/>
      <c r="P258" s="97">
        <v>2.2000000000000002</v>
      </c>
      <c r="Q258" s="50">
        <v>35.909999999999997</v>
      </c>
      <c r="R258" s="49">
        <v>79</v>
      </c>
      <c r="S258" s="48">
        <v>96.751299999999986</v>
      </c>
      <c r="T258" s="27">
        <v>0</v>
      </c>
      <c r="U258" s="26">
        <f>T258*K258</f>
        <v>0</v>
      </c>
      <c r="V258" s="121"/>
      <c r="W258" s="27">
        <f>T258</f>
        <v>0</v>
      </c>
      <c r="X258" s="26">
        <f>U258</f>
        <v>0</v>
      </c>
      <c r="Y258" s="121"/>
      <c r="Z258" s="27">
        <f>T258-W258</f>
        <v>0</v>
      </c>
      <c r="AA258" s="26">
        <f>L258-X258</f>
        <v>79.011520500000003</v>
      </c>
      <c r="AB258" s="121"/>
    </row>
    <row r="259" spans="1:28" ht="25.5" customHeight="1">
      <c r="A259" s="139" t="s">
        <v>304</v>
      </c>
      <c r="B259" s="139">
        <v>10</v>
      </c>
      <c r="C259" s="79" t="s">
        <v>303</v>
      </c>
      <c r="D259" s="79" t="s">
        <v>302</v>
      </c>
      <c r="E259" s="77" t="s">
        <v>301</v>
      </c>
      <c r="F259" s="77" t="s">
        <v>300</v>
      </c>
      <c r="G259" s="77" t="s">
        <v>52</v>
      </c>
      <c r="H259" s="78" t="s">
        <v>299</v>
      </c>
      <c r="I259" s="77" t="s">
        <v>24</v>
      </c>
      <c r="J259" s="76">
        <f>VLOOKUP(F259,'[1]Planilha Orçamentária'!B259:J636,5,FALSE)</f>
        <v>1</v>
      </c>
      <c r="K259" s="75">
        <f>VLOOKUP(F259,'[1]Planilha Orçamentária'!B260:J636,7,FALSE)*$K$1</f>
        <v>944.93259374999991</v>
      </c>
      <c r="L259" s="74">
        <f>K259*J259</f>
        <v>944.93259374999991</v>
      </c>
      <c r="M259" s="73">
        <f>L259/$O$8</f>
        <v>5.6463802217774316E-4</v>
      </c>
      <c r="N259" s="134">
        <f>SUM(L259:L275)</f>
        <v>6916.7596222500006</v>
      </c>
      <c r="O259" s="71">
        <f>N259/$O$8</f>
        <v>4.133062505005918E-3</v>
      </c>
      <c r="P259" s="51">
        <v>1</v>
      </c>
      <c r="Q259" s="50">
        <v>1027.55</v>
      </c>
      <c r="R259" s="49">
        <v>1027.55</v>
      </c>
      <c r="S259" s="48">
        <v>1258.4404849999999</v>
      </c>
      <c r="T259" s="127">
        <v>0</v>
      </c>
      <c r="U259" s="63">
        <f>T259*K259</f>
        <v>0</v>
      </c>
      <c r="V259" s="62">
        <f>SUM(U259:U275)</f>
        <v>0</v>
      </c>
      <c r="W259" s="127">
        <f>T259</f>
        <v>0</v>
      </c>
      <c r="X259" s="63">
        <f>U259</f>
        <v>0</v>
      </c>
      <c r="Y259" s="62">
        <f>SUM(X259:X275)</f>
        <v>0</v>
      </c>
      <c r="Z259" s="64">
        <f>T259-W259</f>
        <v>0</v>
      </c>
      <c r="AA259" s="66">
        <f>L259-X259</f>
        <v>944.93259374999991</v>
      </c>
      <c r="AB259" s="62">
        <f>SUM(AA259:AA275)</f>
        <v>6916.7596222500006</v>
      </c>
    </row>
    <row r="260" spans="1:28" ht="38.25">
      <c r="A260" s="138"/>
      <c r="B260" s="138"/>
      <c r="C260" s="60"/>
      <c r="D260" s="60"/>
      <c r="E260" s="58" t="s">
        <v>298</v>
      </c>
      <c r="F260" s="58">
        <v>101881</v>
      </c>
      <c r="G260" s="58" t="s">
        <v>26</v>
      </c>
      <c r="H260" s="59" t="s">
        <v>297</v>
      </c>
      <c r="I260" s="58" t="s">
        <v>24</v>
      </c>
      <c r="J260" s="57">
        <f>VLOOKUP(F260,'[1]Planilha Orçamentária'!B260:J637,5,FALSE)</f>
        <v>1</v>
      </c>
      <c r="K260" s="56">
        <f>VLOOKUP(F260,'[1]Planilha Orçamentária'!B261:J637,7,FALSE)*$K$1</f>
        <v>835.61893350000003</v>
      </c>
      <c r="L260" s="55">
        <f>K260*J260</f>
        <v>835.61893350000003</v>
      </c>
      <c r="M260" s="54">
        <f>L260/$O$8</f>
        <v>4.9931839056717388E-4</v>
      </c>
      <c r="N260" s="131"/>
      <c r="O260" s="52"/>
      <c r="P260" s="51">
        <v>1</v>
      </c>
      <c r="Q260" s="50">
        <v>908.33</v>
      </c>
      <c r="R260" s="49">
        <v>908.33</v>
      </c>
      <c r="S260" s="48">
        <v>1112.4317509999998</v>
      </c>
      <c r="T260" s="82">
        <v>0</v>
      </c>
      <c r="U260" s="44">
        <f>T260*K260</f>
        <v>0</v>
      </c>
      <c r="V260" s="43"/>
      <c r="W260" s="82">
        <f>T260</f>
        <v>0</v>
      </c>
      <c r="X260" s="44">
        <f>U260</f>
        <v>0</v>
      </c>
      <c r="Y260" s="43"/>
      <c r="Z260" s="45">
        <f>T260-W260</f>
        <v>0</v>
      </c>
      <c r="AA260" s="47">
        <f>L260-X260</f>
        <v>835.61893350000003</v>
      </c>
      <c r="AB260" s="43"/>
    </row>
    <row r="261" spans="1:28" ht="38.25">
      <c r="A261" s="138"/>
      <c r="B261" s="138"/>
      <c r="C261" s="60"/>
      <c r="D261" s="60"/>
      <c r="E261" s="58" t="s">
        <v>296</v>
      </c>
      <c r="F261" s="58">
        <v>101883</v>
      </c>
      <c r="G261" s="58" t="s">
        <v>26</v>
      </c>
      <c r="H261" s="59" t="s">
        <v>295</v>
      </c>
      <c r="I261" s="58" t="s">
        <v>24</v>
      </c>
      <c r="J261" s="57">
        <f>VLOOKUP(F261,'[1]Planilha Orçamentária'!B261:J638,5,FALSE)</f>
        <v>2</v>
      </c>
      <c r="K261" s="56">
        <f>VLOOKUP(F261,'[1]Planilha Orçamentária'!B262:J638,7,FALSE)*$K$1</f>
        <v>486.05587424999987</v>
      </c>
      <c r="L261" s="55">
        <f>K261*J261</f>
        <v>972.11174849999975</v>
      </c>
      <c r="M261" s="54">
        <f>L261/$O$8</f>
        <v>5.8087874059936098E-4</v>
      </c>
      <c r="N261" s="131"/>
      <c r="O261" s="52"/>
      <c r="P261" s="51">
        <v>2</v>
      </c>
      <c r="Q261" s="50">
        <v>527.97</v>
      </c>
      <c r="R261" s="49">
        <v>1055.94</v>
      </c>
      <c r="S261" s="48">
        <v>1293.2097180000001</v>
      </c>
      <c r="T261" s="82">
        <v>0</v>
      </c>
      <c r="U261" s="44">
        <f>T261*K261</f>
        <v>0</v>
      </c>
      <c r="V261" s="43"/>
      <c r="W261" s="82">
        <f>T261</f>
        <v>0</v>
      </c>
      <c r="X261" s="44">
        <f>U261</f>
        <v>0</v>
      </c>
      <c r="Y261" s="43"/>
      <c r="Z261" s="45">
        <f>T261-W261</f>
        <v>0</v>
      </c>
      <c r="AA261" s="47">
        <f>L261-X261</f>
        <v>972.11174849999975</v>
      </c>
      <c r="AB261" s="43"/>
    </row>
    <row r="262" spans="1:28">
      <c r="A262" s="138"/>
      <c r="B262" s="138"/>
      <c r="C262" s="60"/>
      <c r="D262" s="60"/>
      <c r="E262" s="58" t="s">
        <v>294</v>
      </c>
      <c r="F262" s="58" t="s">
        <v>293</v>
      </c>
      <c r="G262" s="58" t="s">
        <v>52</v>
      </c>
      <c r="H262" s="59" t="s">
        <v>292</v>
      </c>
      <c r="I262" s="58" t="s">
        <v>24</v>
      </c>
      <c r="J262" s="57">
        <f>VLOOKUP(F262,'[1]Planilha Orçamentária'!B262:J639,5,FALSE)</f>
        <v>1</v>
      </c>
      <c r="K262" s="56">
        <f>VLOOKUP(F262,'[1]Planilha Orçamentária'!B263:J639,7,FALSE)*$K$1</f>
        <v>293.6157015</v>
      </c>
      <c r="L262" s="55">
        <f>K262*J262</f>
        <v>293.6157015</v>
      </c>
      <c r="M262" s="54">
        <f>L262/$O$8</f>
        <v>1.754480584878128E-4</v>
      </c>
      <c r="N262" s="131"/>
      <c r="O262" s="52"/>
      <c r="P262" s="51">
        <v>1</v>
      </c>
      <c r="Q262" s="50">
        <v>314.62</v>
      </c>
      <c r="R262" s="49">
        <v>314.62</v>
      </c>
      <c r="S262" s="48">
        <v>385.31511399999999</v>
      </c>
      <c r="T262" s="82">
        <v>0</v>
      </c>
      <c r="U262" s="44">
        <f>T262*K262</f>
        <v>0</v>
      </c>
      <c r="V262" s="43"/>
      <c r="W262" s="82">
        <f>T262</f>
        <v>0</v>
      </c>
      <c r="X262" s="44">
        <f>U262</f>
        <v>0</v>
      </c>
      <c r="Y262" s="43"/>
      <c r="Z262" s="45">
        <f>T262-W262</f>
        <v>0</v>
      </c>
      <c r="AA262" s="47">
        <f>L262-X262</f>
        <v>293.6157015</v>
      </c>
      <c r="AB262" s="43"/>
    </row>
    <row r="263" spans="1:28" ht="25.5">
      <c r="A263" s="138"/>
      <c r="B263" s="138"/>
      <c r="C263" s="60"/>
      <c r="D263" s="60"/>
      <c r="E263" s="58" t="s">
        <v>291</v>
      </c>
      <c r="F263" s="58">
        <v>101896</v>
      </c>
      <c r="G263" s="58" t="s">
        <v>26</v>
      </c>
      <c r="H263" s="59" t="s">
        <v>290</v>
      </c>
      <c r="I263" s="58" t="s">
        <v>24</v>
      </c>
      <c r="J263" s="57">
        <f>VLOOKUP(F263,'[1]Planilha Orçamentária'!B263:J640,5,FALSE)</f>
        <v>2</v>
      </c>
      <c r="K263" s="56">
        <f>VLOOKUP(F263,'[1]Planilha Orçamentária'!B264:J640,7,FALSE)*$K$1</f>
        <v>549.78313874999992</v>
      </c>
      <c r="L263" s="55">
        <f>K263*J263</f>
        <v>1099.5662774999998</v>
      </c>
      <c r="M263" s="54">
        <f>L263/$O$8</f>
        <v>6.5703832451905354E-4</v>
      </c>
      <c r="N263" s="131"/>
      <c r="O263" s="52"/>
      <c r="P263" s="51">
        <v>2</v>
      </c>
      <c r="Q263" s="50">
        <v>544.82000000000005</v>
      </c>
      <c r="R263" s="49">
        <v>1089.6400000000001</v>
      </c>
      <c r="S263" s="48">
        <v>1334.4821079999999</v>
      </c>
      <c r="T263" s="82">
        <v>0</v>
      </c>
      <c r="U263" s="44">
        <f>T263*K263</f>
        <v>0</v>
      </c>
      <c r="V263" s="43"/>
      <c r="W263" s="82">
        <f>T263</f>
        <v>0</v>
      </c>
      <c r="X263" s="44">
        <f>U263</f>
        <v>0</v>
      </c>
      <c r="Y263" s="43"/>
      <c r="Z263" s="45">
        <f>T263-W263</f>
        <v>0</v>
      </c>
      <c r="AA263" s="47">
        <f>L263-X263</f>
        <v>1099.5662774999998</v>
      </c>
      <c r="AB263" s="43"/>
    </row>
    <row r="264" spans="1:28" ht="25.5">
      <c r="A264" s="138"/>
      <c r="B264" s="138"/>
      <c r="C264" s="60"/>
      <c r="D264" s="60"/>
      <c r="E264" s="58" t="s">
        <v>289</v>
      </c>
      <c r="F264" s="58">
        <v>93670</v>
      </c>
      <c r="G264" s="58" t="s">
        <v>26</v>
      </c>
      <c r="H264" s="59" t="s">
        <v>288</v>
      </c>
      <c r="I264" s="58" t="s">
        <v>24</v>
      </c>
      <c r="J264" s="57">
        <f>VLOOKUP(F264,'[1]Planilha Orçamentária'!B264:J641,5,FALSE)</f>
        <v>3</v>
      </c>
      <c r="K264" s="56">
        <f>VLOOKUP(F264,'[1]Planilha Orçamentária'!B265:J641,7,FALSE)*$K$1</f>
        <v>67.419735000000003</v>
      </c>
      <c r="L264" s="55">
        <f>K264*J264</f>
        <v>202.25920500000001</v>
      </c>
      <c r="M264" s="54">
        <f>L264/$O$8</f>
        <v>1.2085860751741342E-4</v>
      </c>
      <c r="N264" s="131"/>
      <c r="O264" s="52"/>
      <c r="P264" s="51">
        <v>3</v>
      </c>
      <c r="Q264" s="50">
        <v>67.040000000000006</v>
      </c>
      <c r="R264" s="49">
        <v>201.12</v>
      </c>
      <c r="S264" s="48">
        <v>246.31166399999998</v>
      </c>
      <c r="T264" s="82">
        <v>0</v>
      </c>
      <c r="U264" s="44">
        <f>T264*K264</f>
        <v>0</v>
      </c>
      <c r="V264" s="43"/>
      <c r="W264" s="82">
        <f>T264</f>
        <v>0</v>
      </c>
      <c r="X264" s="44">
        <f>U264</f>
        <v>0</v>
      </c>
      <c r="Y264" s="43"/>
      <c r="Z264" s="45">
        <f>T264-W264</f>
        <v>0</v>
      </c>
      <c r="AA264" s="47">
        <f>L264-X264</f>
        <v>202.25920500000001</v>
      </c>
      <c r="AB264" s="43"/>
    </row>
    <row r="265" spans="1:28" ht="25.5">
      <c r="A265" s="138"/>
      <c r="B265" s="138"/>
      <c r="C265" s="60"/>
      <c r="D265" s="60"/>
      <c r="E265" s="58" t="s">
        <v>287</v>
      </c>
      <c r="F265" s="58">
        <v>93671</v>
      </c>
      <c r="G265" s="58" t="s">
        <v>26</v>
      </c>
      <c r="H265" s="59" t="s">
        <v>286</v>
      </c>
      <c r="I265" s="58" t="s">
        <v>24</v>
      </c>
      <c r="J265" s="57">
        <f>VLOOKUP(F265,'[1]Planilha Orçamentária'!B265:J642,5,FALSE)</f>
        <v>2</v>
      </c>
      <c r="K265" s="56">
        <f>VLOOKUP(F265,'[1]Planilha Orçamentária'!B266:J642,7,FALSE)*$K$1</f>
        <v>73.151330999999999</v>
      </c>
      <c r="L265" s="55">
        <f>K265*J265</f>
        <v>146.302662</v>
      </c>
      <c r="M265" s="54">
        <f>L265/$O$8</f>
        <v>8.7422157154285236E-5</v>
      </c>
      <c r="N265" s="131"/>
      <c r="O265" s="52"/>
      <c r="P265" s="51">
        <v>2</v>
      </c>
      <c r="Q265" s="50">
        <v>73.010000000000005</v>
      </c>
      <c r="R265" s="49">
        <v>146.02000000000001</v>
      </c>
      <c r="S265" s="48">
        <v>178.83069399999999</v>
      </c>
      <c r="T265" s="82">
        <v>0</v>
      </c>
      <c r="U265" s="44">
        <f>T265*K265</f>
        <v>0</v>
      </c>
      <c r="V265" s="43"/>
      <c r="W265" s="82">
        <f>T265</f>
        <v>0</v>
      </c>
      <c r="X265" s="44">
        <f>U265</f>
        <v>0</v>
      </c>
      <c r="Y265" s="43"/>
      <c r="Z265" s="45">
        <f>T265-W265</f>
        <v>0</v>
      </c>
      <c r="AA265" s="47">
        <f>L265-X265</f>
        <v>146.302662</v>
      </c>
      <c r="AB265" s="43"/>
    </row>
    <row r="266" spans="1:28" ht="25.5">
      <c r="A266" s="138"/>
      <c r="B266" s="138"/>
      <c r="C266" s="60"/>
      <c r="D266" s="60"/>
      <c r="E266" s="58" t="s">
        <v>285</v>
      </c>
      <c r="F266" s="58">
        <v>93673</v>
      </c>
      <c r="G266" s="58" t="s">
        <v>26</v>
      </c>
      <c r="H266" s="59" t="s">
        <v>284</v>
      </c>
      <c r="I266" s="58" t="s">
        <v>24</v>
      </c>
      <c r="J266" s="57">
        <f>VLOOKUP(F266,'[1]Planilha Orçamentária'!B266:J643,5,FALSE)</f>
        <v>2</v>
      </c>
      <c r="K266" s="56">
        <f>VLOOKUP(F266,'[1]Planilha Orçamentária'!B267:J643,7,FALSE)*$K$1</f>
        <v>94.167182999999994</v>
      </c>
      <c r="L266" s="55">
        <f>K266*J266</f>
        <v>188.33436599999999</v>
      </c>
      <c r="M266" s="54">
        <f>L266/$O$8</f>
        <v>1.1253791501076498E-4</v>
      </c>
      <c r="N266" s="131"/>
      <c r="O266" s="52"/>
      <c r="P266" s="51">
        <v>2</v>
      </c>
      <c r="Q266" s="50">
        <v>95.05</v>
      </c>
      <c r="R266" s="49">
        <v>190.1</v>
      </c>
      <c r="S266" s="48">
        <v>232.81546999999998</v>
      </c>
      <c r="T266" s="82">
        <v>0</v>
      </c>
      <c r="U266" s="44">
        <f>T266*K266</f>
        <v>0</v>
      </c>
      <c r="V266" s="43"/>
      <c r="W266" s="82">
        <f>T266</f>
        <v>0</v>
      </c>
      <c r="X266" s="44">
        <f>U266</f>
        <v>0</v>
      </c>
      <c r="Y266" s="43"/>
      <c r="Z266" s="45">
        <f>T266-W266</f>
        <v>0</v>
      </c>
      <c r="AA266" s="47">
        <f>L266-X266</f>
        <v>188.33436599999999</v>
      </c>
      <c r="AB266" s="43"/>
    </row>
    <row r="267" spans="1:28">
      <c r="A267" s="138"/>
      <c r="B267" s="138"/>
      <c r="C267" s="60"/>
      <c r="D267" s="60"/>
      <c r="E267" s="58" t="s">
        <v>283</v>
      </c>
      <c r="F267" s="58" t="s">
        <v>282</v>
      </c>
      <c r="G267" s="58" t="s">
        <v>52</v>
      </c>
      <c r="H267" s="59" t="s">
        <v>281</v>
      </c>
      <c r="I267" s="58" t="s">
        <v>24</v>
      </c>
      <c r="J267" s="57">
        <f>VLOOKUP(F267,'[1]Planilha Orçamentária'!B267:J644,5,FALSE)</f>
        <v>2</v>
      </c>
      <c r="K267" s="56">
        <f>VLOOKUP(F267,'[1]Planilha Orçamentária'!B268:J644,7,FALSE)*$K$1</f>
        <v>177.08243474999998</v>
      </c>
      <c r="L267" s="55">
        <f>K267*J267</f>
        <v>354.16486949999995</v>
      </c>
      <c r="M267" s="54">
        <f>L267/$O$8</f>
        <v>2.1162880057476959E-4</v>
      </c>
      <c r="N267" s="131"/>
      <c r="O267" s="52"/>
      <c r="P267" s="51">
        <v>2</v>
      </c>
      <c r="Q267" s="50">
        <v>176.63</v>
      </c>
      <c r="R267" s="49">
        <v>353.26</v>
      </c>
      <c r="S267" s="48">
        <v>432.63752199999993</v>
      </c>
      <c r="T267" s="82">
        <v>0</v>
      </c>
      <c r="U267" s="44">
        <f>T267*K267</f>
        <v>0</v>
      </c>
      <c r="V267" s="43"/>
      <c r="W267" s="82">
        <f>T267</f>
        <v>0</v>
      </c>
      <c r="X267" s="44">
        <f>U267</f>
        <v>0</v>
      </c>
      <c r="Y267" s="43"/>
      <c r="Z267" s="45">
        <f>T267-W267</f>
        <v>0</v>
      </c>
      <c r="AA267" s="47">
        <f>L267-X267</f>
        <v>354.16486949999995</v>
      </c>
      <c r="AB267" s="43"/>
    </row>
    <row r="268" spans="1:28" ht="25.5">
      <c r="A268" s="138"/>
      <c r="B268" s="138"/>
      <c r="C268" s="60"/>
      <c r="D268" s="60"/>
      <c r="E268" s="58" t="s">
        <v>280</v>
      </c>
      <c r="F268" s="58">
        <v>93653</v>
      </c>
      <c r="G268" s="58" t="s">
        <v>26</v>
      </c>
      <c r="H268" s="59" t="s">
        <v>279</v>
      </c>
      <c r="I268" s="58" t="s">
        <v>24</v>
      </c>
      <c r="J268" s="57">
        <f>VLOOKUP(F268,'[1]Planilha Orçamentária'!B268:J645,5,FALSE)</f>
        <v>9</v>
      </c>
      <c r="K268" s="56">
        <f>VLOOKUP(F268,'[1]Planilha Orçamentária'!B269:J645,7,FALSE)*$K$1</f>
        <v>10.489555499999998</v>
      </c>
      <c r="L268" s="55">
        <f>K268*J268</f>
        <v>94.405999499999979</v>
      </c>
      <c r="M268" s="54">
        <f>L268/$O$8</f>
        <v>5.6411660675021567E-5</v>
      </c>
      <c r="N268" s="131"/>
      <c r="O268" s="52"/>
      <c r="P268" s="51">
        <v>9</v>
      </c>
      <c r="Q268" s="50">
        <v>10.46</v>
      </c>
      <c r="R268" s="49">
        <v>94.14</v>
      </c>
      <c r="S268" s="48">
        <v>115.29325799999999</v>
      </c>
      <c r="T268" s="82">
        <v>0</v>
      </c>
      <c r="U268" s="44">
        <f>T268*K268</f>
        <v>0</v>
      </c>
      <c r="V268" s="43"/>
      <c r="W268" s="82">
        <f>T268</f>
        <v>0</v>
      </c>
      <c r="X268" s="44">
        <f>U268</f>
        <v>0</v>
      </c>
      <c r="Y268" s="43"/>
      <c r="Z268" s="45">
        <f>T268-W268</f>
        <v>0</v>
      </c>
      <c r="AA268" s="47">
        <f>L268-X268</f>
        <v>94.405999499999979</v>
      </c>
      <c r="AB268" s="43"/>
    </row>
    <row r="269" spans="1:28" ht="25.5">
      <c r="A269" s="138"/>
      <c r="B269" s="138"/>
      <c r="C269" s="60"/>
      <c r="D269" s="60"/>
      <c r="E269" s="58" t="s">
        <v>278</v>
      </c>
      <c r="F269" s="58">
        <v>93654</v>
      </c>
      <c r="G269" s="58" t="s">
        <v>26</v>
      </c>
      <c r="H269" s="59" t="s">
        <v>277</v>
      </c>
      <c r="I269" s="58" t="s">
        <v>24</v>
      </c>
      <c r="J269" s="57">
        <f>VLOOKUP(F269,'[1]Planilha Orçamentária'!B269:J646,5,FALSE)</f>
        <v>4</v>
      </c>
      <c r="K269" s="56">
        <f>VLOOKUP(F269,'[1]Planilha Orçamentária'!B270:J646,7,FALSE)*$K$1</f>
        <v>11.32541325</v>
      </c>
      <c r="L269" s="55">
        <f>K269*J269</f>
        <v>45.301653000000002</v>
      </c>
      <c r="M269" s="54">
        <f>L269/$O$8</f>
        <v>2.7069693563845733E-5</v>
      </c>
      <c r="N269" s="131"/>
      <c r="O269" s="52"/>
      <c r="P269" s="51">
        <v>4</v>
      </c>
      <c r="Q269" s="50">
        <v>11.34</v>
      </c>
      <c r="R269" s="49">
        <v>45.36</v>
      </c>
      <c r="S269" s="48">
        <v>55.552391999999998</v>
      </c>
      <c r="T269" s="82">
        <v>0</v>
      </c>
      <c r="U269" s="44">
        <f>T269*K269</f>
        <v>0</v>
      </c>
      <c r="V269" s="43"/>
      <c r="W269" s="82">
        <f>T269</f>
        <v>0</v>
      </c>
      <c r="X269" s="44">
        <f>U269</f>
        <v>0</v>
      </c>
      <c r="Y269" s="43"/>
      <c r="Z269" s="45">
        <f>T269-W269</f>
        <v>0</v>
      </c>
      <c r="AA269" s="47">
        <f>L269-X269</f>
        <v>45.301653000000002</v>
      </c>
      <c r="AB269" s="43"/>
    </row>
    <row r="270" spans="1:28" ht="25.5">
      <c r="A270" s="138"/>
      <c r="B270" s="138"/>
      <c r="C270" s="60"/>
      <c r="D270" s="60"/>
      <c r="E270" s="58" t="s">
        <v>276</v>
      </c>
      <c r="F270" s="58">
        <v>93656</v>
      </c>
      <c r="G270" s="58" t="s">
        <v>26</v>
      </c>
      <c r="H270" s="59" t="s">
        <v>275</v>
      </c>
      <c r="I270" s="58" t="s">
        <v>24</v>
      </c>
      <c r="J270" s="57">
        <f>VLOOKUP(F270,'[1]Planilha Orçamentária'!B270:J647,5,FALSE)</f>
        <v>1</v>
      </c>
      <c r="K270" s="56">
        <f>VLOOKUP(F270,'[1]Planilha Orçamentária'!B271:J647,7,FALSE)*$K$1</f>
        <v>12.859349999999999</v>
      </c>
      <c r="L270" s="55">
        <f>K270*J270</f>
        <v>12.859349999999999</v>
      </c>
      <c r="M270" s="54">
        <f>L270/$O$8</f>
        <v>7.6840168267201994E-6</v>
      </c>
      <c r="N270" s="131"/>
      <c r="O270" s="52"/>
      <c r="P270" s="51">
        <v>1</v>
      </c>
      <c r="Q270" s="50">
        <v>12.95</v>
      </c>
      <c r="R270" s="49">
        <v>12.95</v>
      </c>
      <c r="S270" s="48">
        <v>15.859864999999997</v>
      </c>
      <c r="T270" s="82">
        <v>0</v>
      </c>
      <c r="U270" s="44">
        <f>T270*K270</f>
        <v>0</v>
      </c>
      <c r="V270" s="43"/>
      <c r="W270" s="82">
        <f>T270</f>
        <v>0</v>
      </c>
      <c r="X270" s="44">
        <f>U270</f>
        <v>0</v>
      </c>
      <c r="Y270" s="43"/>
      <c r="Z270" s="45">
        <f>T270-W270</f>
        <v>0</v>
      </c>
      <c r="AA270" s="47">
        <f>L270-X270</f>
        <v>12.859349999999999</v>
      </c>
      <c r="AB270" s="43"/>
    </row>
    <row r="271" spans="1:28" ht="25.5">
      <c r="A271" s="138"/>
      <c r="B271" s="138"/>
      <c r="C271" s="60"/>
      <c r="D271" s="60"/>
      <c r="E271" s="58" t="s">
        <v>274</v>
      </c>
      <c r="F271" s="58">
        <v>93660</v>
      </c>
      <c r="G271" s="58" t="s">
        <v>26</v>
      </c>
      <c r="H271" s="59" t="s">
        <v>273</v>
      </c>
      <c r="I271" s="58" t="s">
        <v>24</v>
      </c>
      <c r="J271" s="57">
        <f>VLOOKUP(F271,'[1]Planilha Orçamentária'!B271:J648,5,FALSE)</f>
        <v>4</v>
      </c>
      <c r="K271" s="56">
        <f>VLOOKUP(F271,'[1]Planilha Orçamentária'!B272:J648,7,FALSE)*$K$1</f>
        <v>47.699003249999997</v>
      </c>
      <c r="L271" s="55">
        <f>K271*J271</f>
        <v>190.79601299999999</v>
      </c>
      <c r="M271" s="54">
        <f>L271/$O$8</f>
        <v>1.1400885537473713E-4</v>
      </c>
      <c r="N271" s="131"/>
      <c r="O271" s="52"/>
      <c r="P271" s="51">
        <v>4</v>
      </c>
      <c r="Q271" s="50">
        <v>47.06</v>
      </c>
      <c r="R271" s="49">
        <v>188.24</v>
      </c>
      <c r="S271" s="48">
        <v>230.53752799999998</v>
      </c>
      <c r="T271" s="82">
        <v>0</v>
      </c>
      <c r="U271" s="44">
        <f>T271*K271</f>
        <v>0</v>
      </c>
      <c r="V271" s="43"/>
      <c r="W271" s="82">
        <f>T271</f>
        <v>0</v>
      </c>
      <c r="X271" s="44">
        <f>U271</f>
        <v>0</v>
      </c>
      <c r="Y271" s="43"/>
      <c r="Z271" s="45">
        <f>T271-W271</f>
        <v>0</v>
      </c>
      <c r="AA271" s="47">
        <f>L271-X271</f>
        <v>190.79601299999999</v>
      </c>
      <c r="AB271" s="43"/>
    </row>
    <row r="272" spans="1:28" ht="25.5">
      <c r="A272" s="138"/>
      <c r="B272" s="138"/>
      <c r="C272" s="60"/>
      <c r="D272" s="60"/>
      <c r="E272" s="58" t="s">
        <v>272</v>
      </c>
      <c r="F272" s="58">
        <v>93661</v>
      </c>
      <c r="G272" s="58" t="s">
        <v>26</v>
      </c>
      <c r="H272" s="59" t="s">
        <v>271</v>
      </c>
      <c r="I272" s="58" t="s">
        <v>24</v>
      </c>
      <c r="J272" s="57">
        <f>VLOOKUP(F272,'[1]Planilha Orçamentária'!B272:J649,5,FALSE)</f>
        <v>10</v>
      </c>
      <c r="K272" s="56">
        <f>VLOOKUP(F272,'[1]Planilha Orçamentária'!B273:J649,7,FALSE)*$K$1</f>
        <v>49.379903999999996</v>
      </c>
      <c r="L272" s="55">
        <f>K272*J272</f>
        <v>493.79903999999999</v>
      </c>
      <c r="M272" s="54">
        <f>L272/$O$8</f>
        <v>2.9506624614605566E-4</v>
      </c>
      <c r="N272" s="131"/>
      <c r="O272" s="52"/>
      <c r="P272" s="51">
        <v>10</v>
      </c>
      <c r="Q272" s="50">
        <v>48.82</v>
      </c>
      <c r="R272" s="49">
        <v>488.2</v>
      </c>
      <c r="S272" s="48">
        <v>597.89853999999991</v>
      </c>
      <c r="T272" s="82">
        <v>0</v>
      </c>
      <c r="U272" s="44">
        <f>T272*K272</f>
        <v>0</v>
      </c>
      <c r="V272" s="43"/>
      <c r="W272" s="82">
        <f>T272</f>
        <v>0</v>
      </c>
      <c r="X272" s="44">
        <f>U272</f>
        <v>0</v>
      </c>
      <c r="Y272" s="43"/>
      <c r="Z272" s="45">
        <f>T272-W272</f>
        <v>0</v>
      </c>
      <c r="AA272" s="47">
        <f>L272-X272</f>
        <v>493.79903999999999</v>
      </c>
      <c r="AB272" s="43"/>
    </row>
    <row r="273" spans="1:28" ht="25.5">
      <c r="A273" s="138"/>
      <c r="B273" s="138"/>
      <c r="C273" s="60"/>
      <c r="D273" s="60"/>
      <c r="E273" s="58" t="s">
        <v>270</v>
      </c>
      <c r="F273" s="58">
        <v>93664</v>
      </c>
      <c r="G273" s="58" t="s">
        <v>26</v>
      </c>
      <c r="H273" s="59" t="s">
        <v>269</v>
      </c>
      <c r="I273" s="58" t="s">
        <v>24</v>
      </c>
      <c r="J273" s="57">
        <f>VLOOKUP(F273,'[1]Planilha Orçamentária'!B273:J650,5,FALSE)</f>
        <v>1</v>
      </c>
      <c r="K273" s="56">
        <f>VLOOKUP(F273,'[1]Planilha Orçamentária'!B274:J650,7,FALSE)*$K$1</f>
        <v>56.296397249999998</v>
      </c>
      <c r="L273" s="55">
        <f>K273*J273</f>
        <v>56.296397249999998</v>
      </c>
      <c r="M273" s="54">
        <f>L273/$O$8</f>
        <v>3.36395279506915E-5</v>
      </c>
      <c r="N273" s="131"/>
      <c r="O273" s="52"/>
      <c r="P273" s="51">
        <v>1</v>
      </c>
      <c r="Q273" s="50">
        <v>56.03</v>
      </c>
      <c r="R273" s="49">
        <v>56.03</v>
      </c>
      <c r="S273" s="48">
        <v>68.619940999999997</v>
      </c>
      <c r="T273" s="82">
        <v>0</v>
      </c>
      <c r="U273" s="44">
        <f>T273*K273</f>
        <v>0</v>
      </c>
      <c r="V273" s="43"/>
      <c r="W273" s="82">
        <f>T273</f>
        <v>0</v>
      </c>
      <c r="X273" s="44">
        <f>U273</f>
        <v>0</v>
      </c>
      <c r="Y273" s="43"/>
      <c r="Z273" s="45">
        <f>T273-W273</f>
        <v>0</v>
      </c>
      <c r="AA273" s="47">
        <f>L273-X273</f>
        <v>56.296397249999998</v>
      </c>
      <c r="AB273" s="43"/>
    </row>
    <row r="274" spans="1:28" ht="25.5">
      <c r="A274" s="138"/>
      <c r="B274" s="138"/>
      <c r="C274" s="60"/>
      <c r="D274" s="60"/>
      <c r="E274" s="58" t="s">
        <v>268</v>
      </c>
      <c r="F274" s="58">
        <v>39465</v>
      </c>
      <c r="G274" s="58" t="s">
        <v>26</v>
      </c>
      <c r="H274" s="59" t="s">
        <v>267</v>
      </c>
      <c r="I274" s="58" t="s">
        <v>24</v>
      </c>
      <c r="J274" s="57">
        <f>VLOOKUP(F274,'[1]Planilha Orçamentária'!B274:J651,5,FALSE)</f>
        <v>4</v>
      </c>
      <c r="K274" s="56">
        <f>VLOOKUP(F274,'[1]Planilha Orçamentária'!B275:J651,7,FALSE)*$K$1</f>
        <v>53.59593375</v>
      </c>
      <c r="L274" s="55">
        <f>K274*J274</f>
        <v>214.383735</v>
      </c>
      <c r="M274" s="54">
        <f>L274/$O$8</f>
        <v>1.2810353766832104E-4</v>
      </c>
      <c r="N274" s="131"/>
      <c r="O274" s="52"/>
      <c r="P274" s="51">
        <v>4</v>
      </c>
      <c r="Q274" s="50">
        <v>52.4</v>
      </c>
      <c r="R274" s="49">
        <v>209.6</v>
      </c>
      <c r="S274" s="48">
        <v>256.69711999999998</v>
      </c>
      <c r="T274" s="82">
        <v>0</v>
      </c>
      <c r="U274" s="44">
        <f>T274*K274</f>
        <v>0</v>
      </c>
      <c r="V274" s="43"/>
      <c r="W274" s="82">
        <f>T274</f>
        <v>0</v>
      </c>
      <c r="X274" s="44">
        <f>U274</f>
        <v>0</v>
      </c>
      <c r="Y274" s="43"/>
      <c r="Z274" s="45">
        <f>T274-W274</f>
        <v>0</v>
      </c>
      <c r="AA274" s="47">
        <f>L274-X274</f>
        <v>214.383735</v>
      </c>
      <c r="AB274" s="43"/>
    </row>
    <row r="275" spans="1:28" ht="15" thickBot="1">
      <c r="A275" s="137"/>
      <c r="B275" s="137"/>
      <c r="C275" s="41"/>
      <c r="D275" s="41"/>
      <c r="E275" s="39" t="s">
        <v>266</v>
      </c>
      <c r="F275" s="39">
        <v>39445</v>
      </c>
      <c r="G275" s="39" t="s">
        <v>26</v>
      </c>
      <c r="H275" s="40" t="s">
        <v>265</v>
      </c>
      <c r="I275" s="39" t="s">
        <v>24</v>
      </c>
      <c r="J275" s="38">
        <f>VLOOKUP(F275,'[1]Planilha Orçamentária'!B275:J652,5,FALSE)</f>
        <v>7</v>
      </c>
      <c r="K275" s="37">
        <f>VLOOKUP(F275,'[1]Planilha Orçamentária'!B276:J652,7,FALSE)*$K$1</f>
        <v>110.28729674999998</v>
      </c>
      <c r="L275" s="36">
        <f>K275*J275</f>
        <v>772.01107724999986</v>
      </c>
      <c r="M275" s="35">
        <f>L275/$O$8</f>
        <v>4.613099501921471E-4</v>
      </c>
      <c r="N275" s="128"/>
      <c r="O275" s="33"/>
      <c r="P275" s="51">
        <v>7</v>
      </c>
      <c r="Q275" s="50">
        <v>107.83</v>
      </c>
      <c r="R275" s="49">
        <v>754.81</v>
      </c>
      <c r="S275" s="48">
        <v>924.41580699999986</v>
      </c>
      <c r="T275" s="27">
        <v>0</v>
      </c>
      <c r="U275" s="26">
        <f>T275*K275</f>
        <v>0</v>
      </c>
      <c r="V275" s="25"/>
      <c r="W275" s="27">
        <f>T275</f>
        <v>0</v>
      </c>
      <c r="X275" s="26">
        <f>U275</f>
        <v>0</v>
      </c>
      <c r="Y275" s="25"/>
      <c r="Z275" s="27">
        <f>T275-W275</f>
        <v>0</v>
      </c>
      <c r="AA275" s="26">
        <f>L275-X275</f>
        <v>772.01107724999986</v>
      </c>
      <c r="AB275" s="25"/>
    </row>
    <row r="276" spans="1:28" ht="25.5">
      <c r="A276" s="80" t="s">
        <v>264</v>
      </c>
      <c r="B276" s="80">
        <v>9</v>
      </c>
      <c r="C276" s="79" t="s">
        <v>263</v>
      </c>
      <c r="D276" s="79" t="s">
        <v>262</v>
      </c>
      <c r="E276" s="77" t="s">
        <v>261</v>
      </c>
      <c r="F276" s="77">
        <v>97881</v>
      </c>
      <c r="G276" s="77" t="s">
        <v>26</v>
      </c>
      <c r="H276" s="78" t="s">
        <v>260</v>
      </c>
      <c r="I276" s="77" t="s">
        <v>24</v>
      </c>
      <c r="J276" s="76">
        <v>4</v>
      </c>
      <c r="K276" s="75">
        <f>127.32*1.2247</f>
        <v>155.92880399999999</v>
      </c>
      <c r="L276" s="74">
        <f>K276*J276</f>
        <v>623.71521599999994</v>
      </c>
      <c r="M276" s="73">
        <f>L276/$O$8</f>
        <v>3.7269677042972029E-4</v>
      </c>
      <c r="N276" s="134">
        <f>SUM(L276:L288)</f>
        <v>17391.129454599999</v>
      </c>
      <c r="O276" s="71">
        <f>N276/$O$8</f>
        <v>1.0391950710169308E-2</v>
      </c>
      <c r="P276" s="51">
        <v>4</v>
      </c>
      <c r="Q276" s="50">
        <v>169.26</v>
      </c>
      <c r="R276" s="49">
        <v>677.04</v>
      </c>
      <c r="S276" s="48">
        <v>829.17088799999988</v>
      </c>
      <c r="T276" s="127">
        <v>0</v>
      </c>
      <c r="U276" s="63">
        <f>T276*K276</f>
        <v>0</v>
      </c>
      <c r="V276" s="65">
        <f>SUM(U276:U288)</f>
        <v>0</v>
      </c>
      <c r="W276" s="127">
        <f>T276</f>
        <v>0</v>
      </c>
      <c r="X276" s="63">
        <f>U276</f>
        <v>0</v>
      </c>
      <c r="Y276" s="65">
        <f>SUM(X276:X288)</f>
        <v>0</v>
      </c>
      <c r="Z276" s="127">
        <f>T276-W276</f>
        <v>0</v>
      </c>
      <c r="AA276" s="66">
        <f>L276-X276</f>
        <v>623.71521599999994</v>
      </c>
      <c r="AB276" s="62">
        <f>SUM(AA276:AA288)</f>
        <v>17391.129454599999</v>
      </c>
    </row>
    <row r="277" spans="1:28" ht="25.5">
      <c r="A277" s="61"/>
      <c r="B277" s="61"/>
      <c r="C277" s="60"/>
      <c r="D277" s="60"/>
      <c r="E277" s="58" t="s">
        <v>259</v>
      </c>
      <c r="F277" s="58">
        <v>97669</v>
      </c>
      <c r="G277" s="58" t="s">
        <v>26</v>
      </c>
      <c r="H277" s="59" t="s">
        <v>258</v>
      </c>
      <c r="I277" s="58" t="s">
        <v>88</v>
      </c>
      <c r="J277" s="57">
        <v>67.3</v>
      </c>
      <c r="K277" s="56">
        <f>17.13*1.2247</f>
        <v>20.979110999999996</v>
      </c>
      <c r="L277" s="55">
        <f>K277*J277</f>
        <v>1411.8941702999996</v>
      </c>
      <c r="M277" s="54">
        <f>L277/$O$8</f>
        <v>8.4366772520643363E-4</v>
      </c>
      <c r="N277" s="131"/>
      <c r="O277" s="52"/>
      <c r="P277" s="51">
        <v>67.3</v>
      </c>
      <c r="Q277" s="50">
        <v>23.5</v>
      </c>
      <c r="R277" s="49">
        <v>1581.55</v>
      </c>
      <c r="S277" s="48">
        <v>1936.9242849999998</v>
      </c>
      <c r="T277" s="82">
        <v>0</v>
      </c>
      <c r="U277" s="44">
        <f>T277*K277</f>
        <v>0</v>
      </c>
      <c r="V277" s="46"/>
      <c r="W277" s="82">
        <f>T277</f>
        <v>0</v>
      </c>
      <c r="X277" s="44">
        <f>U277</f>
        <v>0</v>
      </c>
      <c r="Y277" s="46"/>
      <c r="Z277" s="82">
        <f>T277-W277</f>
        <v>0</v>
      </c>
      <c r="AA277" s="47">
        <f>L277-X277</f>
        <v>1411.8941702999996</v>
      </c>
      <c r="AB277" s="43"/>
    </row>
    <row r="278" spans="1:28" ht="25.5">
      <c r="A278" s="61"/>
      <c r="B278" s="61"/>
      <c r="C278" s="60"/>
      <c r="D278" s="60"/>
      <c r="E278" s="58" t="s">
        <v>257</v>
      </c>
      <c r="F278" s="58">
        <v>97668</v>
      </c>
      <c r="G278" s="58" t="s">
        <v>26</v>
      </c>
      <c r="H278" s="59" t="s">
        <v>256</v>
      </c>
      <c r="I278" s="58" t="s">
        <v>88</v>
      </c>
      <c r="J278" s="57">
        <v>22.1</v>
      </c>
      <c r="K278" s="56">
        <f>11.49*1.2247</f>
        <v>14.071802999999999</v>
      </c>
      <c r="L278" s="55">
        <f>K278*J278</f>
        <v>310.98684630000002</v>
      </c>
      <c r="M278" s="54">
        <f>L278/$O$8</f>
        <v>1.8582806750402225E-4</v>
      </c>
      <c r="N278" s="131"/>
      <c r="O278" s="52"/>
      <c r="P278" s="51">
        <v>22.1</v>
      </c>
      <c r="Q278" s="50">
        <v>15.83</v>
      </c>
      <c r="R278" s="49">
        <v>349.84</v>
      </c>
      <c r="S278" s="48">
        <v>428.44904799999995</v>
      </c>
      <c r="T278" s="82">
        <v>0</v>
      </c>
      <c r="U278" s="44">
        <f>T278*K278</f>
        <v>0</v>
      </c>
      <c r="V278" s="46"/>
      <c r="W278" s="82">
        <f>T278</f>
        <v>0</v>
      </c>
      <c r="X278" s="44">
        <f>U278</f>
        <v>0</v>
      </c>
      <c r="Y278" s="46"/>
      <c r="Z278" s="82">
        <f>T278-W278</f>
        <v>0</v>
      </c>
      <c r="AA278" s="47">
        <f>L278-X278</f>
        <v>310.98684630000002</v>
      </c>
      <c r="AB278" s="43"/>
    </row>
    <row r="279" spans="1:28" ht="25.5">
      <c r="A279" s="61"/>
      <c r="B279" s="61"/>
      <c r="C279" s="60"/>
      <c r="D279" s="60"/>
      <c r="E279" s="58" t="s">
        <v>255</v>
      </c>
      <c r="F279" s="58">
        <v>91849</v>
      </c>
      <c r="G279" s="58" t="s">
        <v>26</v>
      </c>
      <c r="H279" s="59" t="s">
        <v>254</v>
      </c>
      <c r="I279" s="58" t="s">
        <v>88</v>
      </c>
      <c r="J279" s="57">
        <v>65.7</v>
      </c>
      <c r="K279" s="56">
        <f>7.26*1.2247</f>
        <v>8.8913219999999988</v>
      </c>
      <c r="L279" s="55">
        <f>K279*J279</f>
        <v>584.15985539999997</v>
      </c>
      <c r="M279" s="54">
        <f>L279/$O$8</f>
        <v>3.4906073467072898E-4</v>
      </c>
      <c r="N279" s="131"/>
      <c r="O279" s="52"/>
      <c r="P279" s="51">
        <v>65.7</v>
      </c>
      <c r="Q279" s="50">
        <v>9.76</v>
      </c>
      <c r="R279" s="49">
        <v>641.23</v>
      </c>
      <c r="S279" s="48">
        <v>785.31438099999991</v>
      </c>
      <c r="T279" s="82">
        <v>0</v>
      </c>
      <c r="U279" s="44">
        <f>T279*K279</f>
        <v>0</v>
      </c>
      <c r="V279" s="46"/>
      <c r="W279" s="82">
        <f>T279</f>
        <v>0</v>
      </c>
      <c r="X279" s="44">
        <f>U279</f>
        <v>0</v>
      </c>
      <c r="Y279" s="46"/>
      <c r="Z279" s="82">
        <f>T279-W279</f>
        <v>0</v>
      </c>
      <c r="AA279" s="47">
        <f>L279-X279</f>
        <v>584.15985539999997</v>
      </c>
      <c r="AB279" s="43"/>
    </row>
    <row r="280" spans="1:28" ht="25.5">
      <c r="A280" s="61"/>
      <c r="B280" s="61"/>
      <c r="C280" s="60"/>
      <c r="D280" s="60"/>
      <c r="E280" s="58" t="s">
        <v>253</v>
      </c>
      <c r="F280" s="58">
        <v>91834</v>
      </c>
      <c r="G280" s="58" t="s">
        <v>26</v>
      </c>
      <c r="H280" s="59" t="s">
        <v>252</v>
      </c>
      <c r="I280" s="58" t="s">
        <v>88</v>
      </c>
      <c r="J280" s="57">
        <v>169.6</v>
      </c>
      <c r="K280" s="56">
        <f>17.24*1.2247</f>
        <v>21.113827999999998</v>
      </c>
      <c r="L280" s="55">
        <f>K280*J280</f>
        <v>3580.9052287999993</v>
      </c>
      <c r="M280" s="54">
        <f>L280/$O$8</f>
        <v>2.1397454795918564E-3</v>
      </c>
      <c r="N280" s="131"/>
      <c r="O280" s="52"/>
      <c r="P280" s="51">
        <v>169.6</v>
      </c>
      <c r="Q280" s="50">
        <v>22.57</v>
      </c>
      <c r="R280" s="49">
        <v>3827.87</v>
      </c>
      <c r="S280" s="48">
        <v>4687.9923889999991</v>
      </c>
      <c r="T280" s="82">
        <v>0</v>
      </c>
      <c r="U280" s="44">
        <f>T280*K280</f>
        <v>0</v>
      </c>
      <c r="V280" s="46"/>
      <c r="W280" s="82">
        <f>T280</f>
        <v>0</v>
      </c>
      <c r="X280" s="44">
        <f>U280</f>
        <v>0</v>
      </c>
      <c r="Y280" s="46"/>
      <c r="Z280" s="82">
        <f>T280-W280</f>
        <v>0</v>
      </c>
      <c r="AA280" s="47">
        <f>L280-X280</f>
        <v>3580.9052287999993</v>
      </c>
      <c r="AB280" s="43"/>
    </row>
    <row r="281" spans="1:28" ht="25.5">
      <c r="A281" s="61"/>
      <c r="B281" s="61"/>
      <c r="C281" s="60"/>
      <c r="D281" s="60"/>
      <c r="E281" s="58" t="s">
        <v>251</v>
      </c>
      <c r="F281" s="58">
        <v>91854</v>
      </c>
      <c r="G281" s="58" t="s">
        <v>26</v>
      </c>
      <c r="H281" s="59" t="s">
        <v>250</v>
      </c>
      <c r="I281" s="58" t="s">
        <v>88</v>
      </c>
      <c r="J281" s="57">
        <v>84.5</v>
      </c>
      <c r="K281" s="56">
        <f>9.29*1.2247</f>
        <v>11.377462999999999</v>
      </c>
      <c r="L281" s="55">
        <f>K281*J281</f>
        <v>961.39562349999994</v>
      </c>
      <c r="M281" s="54">
        <f>L281/$O$8</f>
        <v>5.7447539324376098E-4</v>
      </c>
      <c r="N281" s="131"/>
      <c r="O281" s="52"/>
      <c r="P281" s="51">
        <v>84.5</v>
      </c>
      <c r="Q281" s="50">
        <v>11.92</v>
      </c>
      <c r="R281" s="49">
        <v>1007.24</v>
      </c>
      <c r="S281" s="48">
        <v>1233.566828</v>
      </c>
      <c r="T281" s="82">
        <v>0</v>
      </c>
      <c r="U281" s="44">
        <f>T281*K281</f>
        <v>0</v>
      </c>
      <c r="V281" s="46"/>
      <c r="W281" s="82">
        <f>T281</f>
        <v>0</v>
      </c>
      <c r="X281" s="44">
        <f>U281</f>
        <v>0</v>
      </c>
      <c r="Y281" s="46"/>
      <c r="Z281" s="82">
        <f>T281-W281</f>
        <v>0</v>
      </c>
      <c r="AA281" s="47">
        <f>L281-X281</f>
        <v>961.39562349999994</v>
      </c>
      <c r="AB281" s="43"/>
    </row>
    <row r="282" spans="1:28" ht="25.5">
      <c r="A282" s="61"/>
      <c r="B282" s="61"/>
      <c r="C282" s="60"/>
      <c r="D282" s="60"/>
      <c r="E282" s="58" t="s">
        <v>249</v>
      </c>
      <c r="F282" s="58">
        <v>91845</v>
      </c>
      <c r="G282" s="58" t="s">
        <v>26</v>
      </c>
      <c r="H282" s="59" t="s">
        <v>248</v>
      </c>
      <c r="I282" s="58" t="s">
        <v>88</v>
      </c>
      <c r="J282" s="57">
        <v>8</v>
      </c>
      <c r="K282" s="56">
        <f>7.15*1.2247</f>
        <v>8.7566050000000004</v>
      </c>
      <c r="L282" s="55">
        <f>K282*J282</f>
        <v>70.052840000000003</v>
      </c>
      <c r="M282" s="54">
        <f>L282/$O$8</f>
        <v>4.1859596427466233E-5</v>
      </c>
      <c r="N282" s="131"/>
      <c r="O282" s="52"/>
      <c r="P282" s="51">
        <v>8</v>
      </c>
      <c r="Q282" s="50">
        <v>9.1300000000000008</v>
      </c>
      <c r="R282" s="49">
        <v>73.040000000000006</v>
      </c>
      <c r="S282" s="48">
        <v>89.452088000000003</v>
      </c>
      <c r="T282" s="82">
        <v>0</v>
      </c>
      <c r="U282" s="44">
        <f>T282*K282</f>
        <v>0</v>
      </c>
      <c r="V282" s="46"/>
      <c r="W282" s="82">
        <f>T282</f>
        <v>0</v>
      </c>
      <c r="X282" s="44">
        <f>U282</f>
        <v>0</v>
      </c>
      <c r="Y282" s="46"/>
      <c r="Z282" s="82">
        <f>T282-W282</f>
        <v>0</v>
      </c>
      <c r="AA282" s="47">
        <f>L282-X282</f>
        <v>70.052840000000003</v>
      </c>
      <c r="AB282" s="43"/>
    </row>
    <row r="283" spans="1:28" ht="25.5">
      <c r="A283" s="61"/>
      <c r="B283" s="61"/>
      <c r="C283" s="60"/>
      <c r="D283" s="60"/>
      <c r="E283" s="58" t="s">
        <v>247</v>
      </c>
      <c r="F283" s="58">
        <v>93009</v>
      </c>
      <c r="G283" s="58" t="s">
        <v>26</v>
      </c>
      <c r="H283" s="59" t="s">
        <v>246</v>
      </c>
      <c r="I283" s="58" t="s">
        <v>88</v>
      </c>
      <c r="J283" s="57">
        <v>13.1</v>
      </c>
      <c r="K283" s="56">
        <f>22.21*1.2247</f>
        <v>27.200586999999999</v>
      </c>
      <c r="L283" s="55">
        <f>K283*J283</f>
        <v>356.32768969999995</v>
      </c>
      <c r="M283" s="54">
        <f>L283/$O$8</f>
        <v>2.1292117902391129E-4</v>
      </c>
      <c r="N283" s="131"/>
      <c r="O283" s="52"/>
      <c r="P283" s="51">
        <v>13.1</v>
      </c>
      <c r="Q283" s="50">
        <v>28.27</v>
      </c>
      <c r="R283" s="49">
        <v>370.33</v>
      </c>
      <c r="S283" s="48">
        <v>453.54315099999997</v>
      </c>
      <c r="T283" s="82">
        <v>0</v>
      </c>
      <c r="U283" s="44">
        <f>T283*K283</f>
        <v>0</v>
      </c>
      <c r="V283" s="46"/>
      <c r="W283" s="82">
        <f>T283</f>
        <v>0</v>
      </c>
      <c r="X283" s="44">
        <f>U283</f>
        <v>0</v>
      </c>
      <c r="Y283" s="46"/>
      <c r="Z283" s="82">
        <f>T283-W283</f>
        <v>0</v>
      </c>
      <c r="AA283" s="47">
        <f>L283-X283</f>
        <v>356.32768969999995</v>
      </c>
      <c r="AB283" s="43"/>
    </row>
    <row r="284" spans="1:28" ht="25.5">
      <c r="A284" s="61"/>
      <c r="B284" s="61"/>
      <c r="C284" s="60"/>
      <c r="D284" s="60"/>
      <c r="E284" s="58" t="s">
        <v>245</v>
      </c>
      <c r="F284" s="58" t="s">
        <v>244</v>
      </c>
      <c r="G284" s="58" t="s">
        <v>33</v>
      </c>
      <c r="H284" s="59" t="s">
        <v>243</v>
      </c>
      <c r="I284" s="58" t="s">
        <v>88</v>
      </c>
      <c r="J284" s="57">
        <f>VLOOKUP(F284,'[1]Planilha Orçamentária'!B284:J661,5,FALSE)</f>
        <v>89</v>
      </c>
      <c r="K284" s="56">
        <f>VLOOKUP(F284,'[1]Planilha Orçamentária'!B285:J661,7,FALSE)*$K$1</f>
        <v>62.478070499999994</v>
      </c>
      <c r="L284" s="55">
        <f>K284*J284</f>
        <v>5560.548274499999</v>
      </c>
      <c r="M284" s="54">
        <f>L284/$O$8</f>
        <v>3.3226676703758716E-3</v>
      </c>
      <c r="N284" s="131"/>
      <c r="O284" s="52"/>
      <c r="P284" s="51">
        <v>89</v>
      </c>
      <c r="Q284" s="50">
        <v>67.83</v>
      </c>
      <c r="R284" s="49">
        <v>6036.87</v>
      </c>
      <c r="S284" s="48">
        <v>7393.3546889999989</v>
      </c>
      <c r="T284" s="82">
        <v>0</v>
      </c>
      <c r="U284" s="44">
        <f>T284*K284</f>
        <v>0</v>
      </c>
      <c r="V284" s="46"/>
      <c r="W284" s="82">
        <f>T284</f>
        <v>0</v>
      </c>
      <c r="X284" s="44">
        <f>U284</f>
        <v>0</v>
      </c>
      <c r="Y284" s="46"/>
      <c r="Z284" s="82">
        <f>T284-W284</f>
        <v>0</v>
      </c>
      <c r="AA284" s="47">
        <f>L284-X284</f>
        <v>5560.548274499999</v>
      </c>
      <c r="AB284" s="43"/>
    </row>
    <row r="285" spans="1:28" ht="25.5">
      <c r="A285" s="61"/>
      <c r="B285" s="61"/>
      <c r="C285" s="60"/>
      <c r="D285" s="60"/>
      <c r="E285" s="58" t="s">
        <v>242</v>
      </c>
      <c r="F285" s="58" t="s">
        <v>241</v>
      </c>
      <c r="G285" s="58" t="s">
        <v>33</v>
      </c>
      <c r="H285" s="59" t="s">
        <v>240</v>
      </c>
      <c r="I285" s="58" t="s">
        <v>88</v>
      </c>
      <c r="J285" s="57">
        <f>VLOOKUP(F285,'[1]Planilha Orçamentária'!B285:J662,5,FALSE)</f>
        <v>41.8</v>
      </c>
      <c r="K285" s="56">
        <f>VLOOKUP(F285,'[1]Planilha Orçamentária'!B286:J662,7,FALSE)*$K$1</f>
        <v>86.231126999999987</v>
      </c>
      <c r="L285" s="55">
        <f>K285*J285</f>
        <v>3604.4611085999991</v>
      </c>
      <c r="M285" s="54">
        <f>L285/$O$8</f>
        <v>2.1538211347961553E-3</v>
      </c>
      <c r="N285" s="131"/>
      <c r="O285" s="52"/>
      <c r="P285" s="51">
        <v>41.8</v>
      </c>
      <c r="Q285" s="50">
        <v>90.08</v>
      </c>
      <c r="R285" s="49">
        <v>3765.34</v>
      </c>
      <c r="S285" s="48">
        <v>4611.4118979999994</v>
      </c>
      <c r="T285" s="82">
        <v>0</v>
      </c>
      <c r="U285" s="44">
        <f>T285*K285</f>
        <v>0</v>
      </c>
      <c r="V285" s="46"/>
      <c r="W285" s="82">
        <f>T285</f>
        <v>0</v>
      </c>
      <c r="X285" s="44">
        <f>U285</f>
        <v>0</v>
      </c>
      <c r="Y285" s="46"/>
      <c r="Z285" s="82">
        <f>T285-W285</f>
        <v>0</v>
      </c>
      <c r="AA285" s="47">
        <f>L285-X285</f>
        <v>3604.4611085999991</v>
      </c>
      <c r="AB285" s="43"/>
    </row>
    <row r="286" spans="1:28" ht="25.5">
      <c r="A286" s="61"/>
      <c r="B286" s="61"/>
      <c r="C286" s="60"/>
      <c r="D286" s="60"/>
      <c r="E286" s="58" t="s">
        <v>239</v>
      </c>
      <c r="F286" s="58" t="s">
        <v>238</v>
      </c>
      <c r="G286" s="58" t="s">
        <v>33</v>
      </c>
      <c r="H286" s="59" t="s">
        <v>237</v>
      </c>
      <c r="I286" s="58" t="s">
        <v>24</v>
      </c>
      <c r="J286" s="57">
        <f>VLOOKUP(F286,'[1]Planilha Orçamentária'!B286:J663,5,FALSE)</f>
        <v>2</v>
      </c>
      <c r="K286" s="56">
        <f>VLOOKUP(F286,'[1]Planilha Orçamentária'!B287:J663,7,FALSE)*$K$1</f>
        <v>50.968952249999994</v>
      </c>
      <c r="L286" s="55">
        <f>K286*J286</f>
        <v>101.93790449999999</v>
      </c>
      <c r="M286" s="54">
        <f>L286/$O$8</f>
        <v>6.0912299102100545E-5</v>
      </c>
      <c r="N286" s="131"/>
      <c r="O286" s="52"/>
      <c r="P286" s="51">
        <v>2</v>
      </c>
      <c r="Q286" s="50">
        <v>50.58</v>
      </c>
      <c r="R286" s="49">
        <v>101.16</v>
      </c>
      <c r="S286" s="48">
        <v>123.89065199999999</v>
      </c>
      <c r="T286" s="82">
        <v>0</v>
      </c>
      <c r="U286" s="44">
        <f>T286*K286</f>
        <v>0</v>
      </c>
      <c r="V286" s="46"/>
      <c r="W286" s="82">
        <f>T286</f>
        <v>0</v>
      </c>
      <c r="X286" s="44">
        <f>U286</f>
        <v>0</v>
      </c>
      <c r="Y286" s="46"/>
      <c r="Z286" s="82">
        <f>T286-W286</f>
        <v>0</v>
      </c>
      <c r="AA286" s="47">
        <f>L286-X286</f>
        <v>101.93790449999999</v>
      </c>
      <c r="AB286" s="43"/>
    </row>
    <row r="287" spans="1:28" ht="25.5">
      <c r="A287" s="61"/>
      <c r="B287" s="61"/>
      <c r="C287" s="60"/>
      <c r="D287" s="60"/>
      <c r="E287" s="58" t="s">
        <v>236</v>
      </c>
      <c r="F287" s="58" t="s">
        <v>235</v>
      </c>
      <c r="G287" s="58" t="s">
        <v>33</v>
      </c>
      <c r="H287" s="59" t="s">
        <v>234</v>
      </c>
      <c r="I287" s="58" t="s">
        <v>24</v>
      </c>
      <c r="J287" s="57">
        <f>VLOOKUP(F287,'[1]Planilha Orçamentária'!B287:J664,5,FALSE)</f>
        <v>3</v>
      </c>
      <c r="K287" s="56">
        <f>VLOOKUP(F287,'[1]Planilha Orçamentária'!B288:J664,7,FALSE)*$K$1</f>
        <v>59.29078874999999</v>
      </c>
      <c r="L287" s="55">
        <f>K287*J287</f>
        <v>177.87236624999997</v>
      </c>
      <c r="M287" s="54">
        <f>L287/$O$8</f>
        <v>1.0628641846388331E-4</v>
      </c>
      <c r="N287" s="131"/>
      <c r="O287" s="52"/>
      <c r="P287" s="51">
        <v>3</v>
      </c>
      <c r="Q287" s="50">
        <v>62.29</v>
      </c>
      <c r="R287" s="49">
        <v>186.87</v>
      </c>
      <c r="S287" s="48">
        <v>228.85968899999997</v>
      </c>
      <c r="T287" s="82">
        <v>0</v>
      </c>
      <c r="U287" s="44">
        <f>T287*K287</f>
        <v>0</v>
      </c>
      <c r="V287" s="46"/>
      <c r="W287" s="82">
        <f>T287</f>
        <v>0</v>
      </c>
      <c r="X287" s="44">
        <f>U287</f>
        <v>0</v>
      </c>
      <c r="Y287" s="46"/>
      <c r="Z287" s="82">
        <f>T287-W287</f>
        <v>0</v>
      </c>
      <c r="AA287" s="47">
        <f>L287-X287</f>
        <v>177.87236624999997</v>
      </c>
      <c r="AB287" s="43"/>
    </row>
    <row r="288" spans="1:28" ht="26.25" thickBot="1">
      <c r="A288" s="42"/>
      <c r="B288" s="42"/>
      <c r="C288" s="41"/>
      <c r="D288" s="41"/>
      <c r="E288" s="39" t="s">
        <v>233</v>
      </c>
      <c r="F288" s="39" t="s">
        <v>232</v>
      </c>
      <c r="G288" s="39" t="s">
        <v>33</v>
      </c>
      <c r="H288" s="40" t="s">
        <v>231</v>
      </c>
      <c r="I288" s="39" t="s">
        <v>24</v>
      </c>
      <c r="J288" s="38">
        <f>VLOOKUP(F288,'[1]Planilha Orçamentária'!B288:J665,5,FALSE)</f>
        <v>3</v>
      </c>
      <c r="K288" s="37">
        <f>VLOOKUP(F288,'[1]Planilha Orçamentária'!B289:J665,7,FALSE)*$K$1</f>
        <v>15.624110249999999</v>
      </c>
      <c r="L288" s="36">
        <f>K288*J288</f>
        <v>46.872330749999996</v>
      </c>
      <c r="M288" s="35">
        <f>L288/$O$8</f>
        <v>2.8008241333395125E-5</v>
      </c>
      <c r="N288" s="128"/>
      <c r="O288" s="33"/>
      <c r="P288" s="51">
        <v>3</v>
      </c>
      <c r="Q288" s="50">
        <v>16.52</v>
      </c>
      <c r="R288" s="49">
        <v>49.56</v>
      </c>
      <c r="S288" s="48">
        <v>60.696131999999999</v>
      </c>
      <c r="T288" s="27">
        <v>0</v>
      </c>
      <c r="U288" s="26">
        <f>T288*K288</f>
        <v>0</v>
      </c>
      <c r="V288" s="28"/>
      <c r="W288" s="27">
        <f>T288</f>
        <v>0</v>
      </c>
      <c r="X288" s="26">
        <f>U288</f>
        <v>0</v>
      </c>
      <c r="Y288" s="28"/>
      <c r="Z288" s="27">
        <f>T288-W288</f>
        <v>0</v>
      </c>
      <c r="AA288" s="26">
        <f>L288-X288</f>
        <v>46.872330749999996</v>
      </c>
      <c r="AB288" s="25"/>
    </row>
    <row r="289" spans="1:28" ht="25.5" customHeight="1">
      <c r="A289" s="136" t="s">
        <v>230</v>
      </c>
      <c r="B289" s="136">
        <v>10</v>
      </c>
      <c r="C289" s="135" t="s">
        <v>229</v>
      </c>
      <c r="D289" s="135" t="s">
        <v>228</v>
      </c>
      <c r="E289" s="78" t="s">
        <v>227</v>
      </c>
      <c r="F289" s="77">
        <v>92992</v>
      </c>
      <c r="G289" s="77" t="s">
        <v>26</v>
      </c>
      <c r="H289" s="78" t="s">
        <v>226</v>
      </c>
      <c r="I289" s="77" t="s">
        <v>88</v>
      </c>
      <c r="J289" s="76">
        <f>VLOOKUP(F289,'[1]Planilha Orçamentária'!B289:J666,5,FALSE)</f>
        <v>114.8</v>
      </c>
      <c r="K289" s="75">
        <f>VLOOKUP(F289,'[1]Planilha Orçamentária'!B290:J666,7,FALSE)*$K$1</f>
        <v>98.015802749999992</v>
      </c>
      <c r="L289" s="74">
        <f>K289*J289</f>
        <v>11252.2141557</v>
      </c>
      <c r="M289" s="73">
        <f>L289/$O$8</f>
        <v>6.7236837717503618E-3</v>
      </c>
      <c r="N289" s="134">
        <f>SUM(L289:L314)</f>
        <v>69925.261776300002</v>
      </c>
      <c r="O289" s="71">
        <f>N289/$O$8</f>
        <v>4.1783362930622778E-2</v>
      </c>
      <c r="P289" s="51">
        <v>114.8</v>
      </c>
      <c r="Q289" s="50">
        <v>98.43</v>
      </c>
      <c r="R289" s="49">
        <v>11299.76</v>
      </c>
      <c r="S289" s="48">
        <v>13838.816072</v>
      </c>
      <c r="T289" s="127">
        <v>0</v>
      </c>
      <c r="U289" s="63">
        <f>T289*K289</f>
        <v>0</v>
      </c>
      <c r="V289" s="65">
        <f>SUM(U289:U314)</f>
        <v>0</v>
      </c>
      <c r="W289" s="127">
        <f>T289</f>
        <v>0</v>
      </c>
      <c r="X289" s="63">
        <f>U289</f>
        <v>0</v>
      </c>
      <c r="Y289" s="65">
        <f>SUM(X289:X314)</f>
        <v>0</v>
      </c>
      <c r="Z289" s="127">
        <f>T289-W289</f>
        <v>0</v>
      </c>
      <c r="AA289" s="47">
        <f>L289-X289</f>
        <v>11252.2141557</v>
      </c>
      <c r="AB289" s="62">
        <f>SUM(AA289:AA314)</f>
        <v>69925.261776300002</v>
      </c>
    </row>
    <row r="290" spans="1:28" ht="25.5">
      <c r="A290" s="133"/>
      <c r="B290" s="133"/>
      <c r="C290" s="132"/>
      <c r="D290" s="132"/>
      <c r="E290" s="59" t="s">
        <v>225</v>
      </c>
      <c r="F290" s="58">
        <v>92988</v>
      </c>
      <c r="G290" s="58" t="s">
        <v>26</v>
      </c>
      <c r="H290" s="59" t="s">
        <v>224</v>
      </c>
      <c r="I290" s="58" t="s">
        <v>88</v>
      </c>
      <c r="J290" s="57">
        <f>VLOOKUP(F290,'[1]Planilha Orçamentária'!B290:J667,5,FALSE)</f>
        <v>28.7</v>
      </c>
      <c r="K290" s="56">
        <f>VLOOKUP(F290,'[1]Planilha Orçamentária'!B291:J667,7,FALSE)*$K$1</f>
        <v>55.019647499999991</v>
      </c>
      <c r="L290" s="55">
        <f>K290*J290</f>
        <v>1579.0638832499997</v>
      </c>
      <c r="M290" s="54">
        <f>L290/$O$8</f>
        <v>9.435588462371067E-4</v>
      </c>
      <c r="N290" s="131"/>
      <c r="O290" s="52"/>
      <c r="P290" s="51">
        <v>28.7</v>
      </c>
      <c r="Q290" s="50">
        <v>55.31</v>
      </c>
      <c r="R290" s="49">
        <v>1587.39</v>
      </c>
      <c r="S290" s="48">
        <v>1944.0765329999999</v>
      </c>
      <c r="T290" s="82">
        <v>0</v>
      </c>
      <c r="U290" s="44">
        <f>T290*K290</f>
        <v>0</v>
      </c>
      <c r="V290" s="46"/>
      <c r="W290" s="82">
        <f>T290</f>
        <v>0</v>
      </c>
      <c r="X290" s="44">
        <f>U290</f>
        <v>0</v>
      </c>
      <c r="Y290" s="46"/>
      <c r="Z290" s="82">
        <f>T290-W290</f>
        <v>0</v>
      </c>
      <c r="AA290" s="47">
        <f>L290-X290</f>
        <v>1579.0638832499997</v>
      </c>
      <c r="AB290" s="43"/>
    </row>
    <row r="291" spans="1:28" ht="25.5">
      <c r="A291" s="133"/>
      <c r="B291" s="133"/>
      <c r="C291" s="132"/>
      <c r="D291" s="132"/>
      <c r="E291" s="59" t="s">
        <v>223</v>
      </c>
      <c r="F291" s="58">
        <v>101563</v>
      </c>
      <c r="G291" s="58" t="s">
        <v>26</v>
      </c>
      <c r="H291" s="59" t="s">
        <v>222</v>
      </c>
      <c r="I291" s="58" t="s">
        <v>88</v>
      </c>
      <c r="J291" s="57">
        <f>VLOOKUP(F291,'[1]Planilha Orçamentária'!B291:J668,5,FALSE)</f>
        <v>29.2</v>
      </c>
      <c r="K291" s="56">
        <f>VLOOKUP(F291,'[1]Planilha Orçamentária'!B292:J668,7,FALSE)*$K$1</f>
        <v>34.325279249999994</v>
      </c>
      <c r="L291" s="55">
        <f>K291*J291</f>
        <v>1002.2981540999998</v>
      </c>
      <c r="M291" s="54">
        <f>L291/$O$8</f>
        <v>5.9891642124174191E-4</v>
      </c>
      <c r="N291" s="131"/>
      <c r="O291" s="52"/>
      <c r="P291" s="51">
        <v>29.2</v>
      </c>
      <c r="Q291" s="50">
        <v>34.32</v>
      </c>
      <c r="R291" s="49">
        <v>1002.14</v>
      </c>
      <c r="S291" s="48">
        <v>1227.3208579999998</v>
      </c>
      <c r="T291" s="82">
        <v>0</v>
      </c>
      <c r="U291" s="44">
        <f>T291*K291</f>
        <v>0</v>
      </c>
      <c r="V291" s="46"/>
      <c r="W291" s="82">
        <f>T291</f>
        <v>0</v>
      </c>
      <c r="X291" s="44">
        <f>U291</f>
        <v>0</v>
      </c>
      <c r="Y291" s="46"/>
      <c r="Z291" s="82">
        <f>T291-W291</f>
        <v>0</v>
      </c>
      <c r="AA291" s="47">
        <f>L291-X291</f>
        <v>1002.2981540999998</v>
      </c>
      <c r="AB291" s="43"/>
    </row>
    <row r="292" spans="1:28" ht="25.5">
      <c r="A292" s="133"/>
      <c r="B292" s="133"/>
      <c r="C292" s="132"/>
      <c r="D292" s="132"/>
      <c r="E292" s="59" t="s">
        <v>221</v>
      </c>
      <c r="F292" s="58">
        <v>101889</v>
      </c>
      <c r="G292" s="58" t="s">
        <v>26</v>
      </c>
      <c r="H292" s="59" t="s">
        <v>220</v>
      </c>
      <c r="I292" s="58" t="s">
        <v>88</v>
      </c>
      <c r="J292" s="57">
        <f>VLOOKUP(F292,'[1]Planilha Orçamentária'!B292:J669,5,FALSE)</f>
        <v>84</v>
      </c>
      <c r="K292" s="56">
        <f>VLOOKUP(F292,'[1]Planilha Orçamentária'!B293:J669,7,FALSE)*$K$1</f>
        <v>24.790989749999998</v>
      </c>
      <c r="L292" s="55">
        <f>K292*J292</f>
        <v>2082.443139</v>
      </c>
      <c r="M292" s="54">
        <f>L292/$O$8</f>
        <v>1.244349684919069E-3</v>
      </c>
      <c r="N292" s="131"/>
      <c r="O292" s="52"/>
      <c r="P292" s="51">
        <v>84</v>
      </c>
      <c r="Q292" s="50">
        <v>24.83</v>
      </c>
      <c r="R292" s="49">
        <v>2085.7199999999998</v>
      </c>
      <c r="S292" s="48">
        <v>2554.3812839999996</v>
      </c>
      <c r="T292" s="82">
        <v>0</v>
      </c>
      <c r="U292" s="44">
        <f>T292*K292</f>
        <v>0</v>
      </c>
      <c r="V292" s="46"/>
      <c r="W292" s="82">
        <f>T292</f>
        <v>0</v>
      </c>
      <c r="X292" s="44">
        <f>U292</f>
        <v>0</v>
      </c>
      <c r="Y292" s="46"/>
      <c r="Z292" s="82">
        <f>T292-W292</f>
        <v>0</v>
      </c>
      <c r="AA292" s="47">
        <f>L292-X292</f>
        <v>2082.443139</v>
      </c>
      <c r="AB292" s="43"/>
    </row>
    <row r="293" spans="1:28" ht="25.5">
      <c r="A293" s="133"/>
      <c r="B293" s="133"/>
      <c r="C293" s="132"/>
      <c r="D293" s="132"/>
      <c r="E293" s="59" t="s">
        <v>219</v>
      </c>
      <c r="F293" s="58">
        <v>91927</v>
      </c>
      <c r="G293" s="58" t="s">
        <v>26</v>
      </c>
      <c r="H293" s="59" t="s">
        <v>218</v>
      </c>
      <c r="I293" s="58" t="s">
        <v>88</v>
      </c>
      <c r="J293" s="57">
        <f>VLOOKUP(F293,'[1]Planilha Orçamentária'!B293:J670,5,FALSE)</f>
        <v>1509.5</v>
      </c>
      <c r="K293" s="56">
        <f>VLOOKUP(F293,'[1]Planilha Orçamentária'!B294:J670,7,FALSE)*$K$1</f>
        <v>5.2172219999999996</v>
      </c>
      <c r="L293" s="55">
        <f>K293*J293</f>
        <v>7875.3966089999994</v>
      </c>
      <c r="M293" s="54">
        <f>L293/$O$8</f>
        <v>4.7058894936875652E-3</v>
      </c>
      <c r="N293" s="131"/>
      <c r="O293" s="52"/>
      <c r="P293" s="51">
        <v>1509.5</v>
      </c>
      <c r="Q293" s="50">
        <v>5.33</v>
      </c>
      <c r="R293" s="49">
        <v>8045.63</v>
      </c>
      <c r="S293" s="48">
        <v>9853.483060999999</v>
      </c>
      <c r="T293" s="82">
        <v>0</v>
      </c>
      <c r="U293" s="44">
        <f>T293*K293</f>
        <v>0</v>
      </c>
      <c r="V293" s="46"/>
      <c r="W293" s="82">
        <f>T293</f>
        <v>0</v>
      </c>
      <c r="X293" s="44">
        <f>U293</f>
        <v>0</v>
      </c>
      <c r="Y293" s="46"/>
      <c r="Z293" s="82">
        <f>T293-W293</f>
        <v>0</v>
      </c>
      <c r="AA293" s="47">
        <f>L293-X293</f>
        <v>7875.3966089999994</v>
      </c>
      <c r="AB293" s="43"/>
    </row>
    <row r="294" spans="1:28" ht="25.5">
      <c r="A294" s="133"/>
      <c r="B294" s="133"/>
      <c r="C294" s="132"/>
      <c r="D294" s="132"/>
      <c r="E294" s="59" t="s">
        <v>217</v>
      </c>
      <c r="F294" s="58">
        <v>91929</v>
      </c>
      <c r="G294" s="58" t="s">
        <v>26</v>
      </c>
      <c r="H294" s="59" t="s">
        <v>216</v>
      </c>
      <c r="I294" s="58" t="s">
        <v>88</v>
      </c>
      <c r="J294" s="57">
        <f>VLOOKUP(F294,'[1]Planilha Orçamentária'!B294:J671,5,FALSE)</f>
        <v>873.7</v>
      </c>
      <c r="K294" s="56">
        <f>VLOOKUP(F294,'[1]Planilha Orçamentária'!B295:J671,7,FALSE)*$K$1</f>
        <v>7.5962017499999988</v>
      </c>
      <c r="L294" s="55">
        <f>K294*J294</f>
        <v>6636.8014689749989</v>
      </c>
      <c r="M294" s="54">
        <f>L294/$O$8</f>
        <v>3.9657754212464261E-3</v>
      </c>
      <c r="N294" s="131"/>
      <c r="O294" s="52"/>
      <c r="P294" s="51">
        <v>873.7</v>
      </c>
      <c r="Q294" s="50">
        <v>7.75</v>
      </c>
      <c r="R294" s="49">
        <v>6771.17</v>
      </c>
      <c r="S294" s="48">
        <v>8292.6518989999986</v>
      </c>
      <c r="T294" s="82">
        <v>0</v>
      </c>
      <c r="U294" s="44">
        <f>T294*K294</f>
        <v>0</v>
      </c>
      <c r="V294" s="46"/>
      <c r="W294" s="82">
        <f>T294</f>
        <v>0</v>
      </c>
      <c r="X294" s="44">
        <f>U294</f>
        <v>0</v>
      </c>
      <c r="Y294" s="46"/>
      <c r="Z294" s="82">
        <f>T294-W294</f>
        <v>0</v>
      </c>
      <c r="AA294" s="47">
        <f>L294-X294</f>
        <v>6636.8014689749989</v>
      </c>
      <c r="AB294" s="43"/>
    </row>
    <row r="295" spans="1:28" ht="25.5">
      <c r="A295" s="133"/>
      <c r="B295" s="133"/>
      <c r="C295" s="132"/>
      <c r="D295" s="132"/>
      <c r="E295" s="59" t="s">
        <v>215</v>
      </c>
      <c r="F295" s="58">
        <v>91931</v>
      </c>
      <c r="G295" s="58" t="s">
        <v>26</v>
      </c>
      <c r="H295" s="59" t="s">
        <v>214</v>
      </c>
      <c r="I295" s="58" t="s">
        <v>88</v>
      </c>
      <c r="J295" s="57">
        <f>VLOOKUP(F295,'[1]Planilha Orçamentária'!B295:J672,5,FALSE)</f>
        <v>30</v>
      </c>
      <c r="K295" s="56">
        <f>VLOOKUP(F295,'[1]Planilha Orçamentária'!B296:J672,7,FALSE)*$K$1</f>
        <v>10.6365195</v>
      </c>
      <c r="L295" s="55">
        <f>K295*J295</f>
        <v>319.09558500000003</v>
      </c>
      <c r="M295" s="54">
        <f>L295/$O$8</f>
        <v>1.9067338897161412E-4</v>
      </c>
      <c r="N295" s="131"/>
      <c r="O295" s="52"/>
      <c r="P295" s="51">
        <v>30</v>
      </c>
      <c r="Q295" s="50">
        <v>10.83</v>
      </c>
      <c r="R295" s="49">
        <v>324.89999999999998</v>
      </c>
      <c r="S295" s="48">
        <v>397.90502999999995</v>
      </c>
      <c r="T295" s="82">
        <v>0</v>
      </c>
      <c r="U295" s="44">
        <f>T295*K295</f>
        <v>0</v>
      </c>
      <c r="V295" s="46"/>
      <c r="W295" s="82">
        <f>T295</f>
        <v>0</v>
      </c>
      <c r="X295" s="44">
        <f>U295</f>
        <v>0</v>
      </c>
      <c r="Y295" s="46"/>
      <c r="Z295" s="82">
        <f>T295-W295</f>
        <v>0</v>
      </c>
      <c r="AA295" s="47">
        <f>L295-X295</f>
        <v>319.09558500000003</v>
      </c>
      <c r="AB295" s="43"/>
    </row>
    <row r="296" spans="1:28" ht="25.5">
      <c r="A296" s="133"/>
      <c r="B296" s="133"/>
      <c r="C296" s="132"/>
      <c r="D296" s="132"/>
      <c r="E296" s="59" t="s">
        <v>213</v>
      </c>
      <c r="F296" s="58">
        <v>91932</v>
      </c>
      <c r="G296" s="58" t="s">
        <v>26</v>
      </c>
      <c r="H296" s="59" t="s">
        <v>212</v>
      </c>
      <c r="I296" s="58" t="s">
        <v>88</v>
      </c>
      <c r="J296" s="57">
        <f>VLOOKUP(F296,'[1]Planilha Orçamentária'!B296:J673,5,FALSE)</f>
        <v>16.5</v>
      </c>
      <c r="K296" s="56">
        <f>VLOOKUP(F296,'[1]Planilha Orçamentária'!B297:J673,7,FALSE)*$K$1</f>
        <v>17.461160249999999</v>
      </c>
      <c r="L296" s="55">
        <f>K296*J296</f>
        <v>288.109144125</v>
      </c>
      <c r="M296" s="54">
        <f>L296/$O$8</f>
        <v>1.7215765271094225E-4</v>
      </c>
      <c r="N296" s="131"/>
      <c r="O296" s="52"/>
      <c r="P296" s="51">
        <v>16.5</v>
      </c>
      <c r="Q296" s="50">
        <v>17.73</v>
      </c>
      <c r="R296" s="49">
        <v>292.54000000000002</v>
      </c>
      <c r="S296" s="48">
        <v>358.27373799999998</v>
      </c>
      <c r="T296" s="82">
        <v>0</v>
      </c>
      <c r="U296" s="44">
        <f>T296*K296</f>
        <v>0</v>
      </c>
      <c r="V296" s="46"/>
      <c r="W296" s="82">
        <f>T296</f>
        <v>0</v>
      </c>
      <c r="X296" s="44">
        <f>U296</f>
        <v>0</v>
      </c>
      <c r="Y296" s="46"/>
      <c r="Z296" s="82">
        <f>T296-W296</f>
        <v>0</v>
      </c>
      <c r="AA296" s="47">
        <f>L296-X296</f>
        <v>288.109144125</v>
      </c>
      <c r="AB296" s="43"/>
    </row>
    <row r="297" spans="1:28" ht="25.5">
      <c r="A297" s="133"/>
      <c r="B297" s="133"/>
      <c r="C297" s="132"/>
      <c r="D297" s="132"/>
      <c r="E297" s="59" t="s">
        <v>211</v>
      </c>
      <c r="F297" s="58">
        <v>91935</v>
      </c>
      <c r="G297" s="58" t="s">
        <v>26</v>
      </c>
      <c r="H297" s="59" t="s">
        <v>210</v>
      </c>
      <c r="I297" s="58" t="s">
        <v>88</v>
      </c>
      <c r="J297" s="57">
        <f>VLOOKUP(F297,'[1]Planilha Orçamentária'!B297:J674,5,FALSE)</f>
        <v>28.3</v>
      </c>
      <c r="K297" s="56">
        <f>VLOOKUP(F297,'[1]Planilha Orçamentária'!B298:J674,7,FALSE)*$K$1</f>
        <v>26.380037999999995</v>
      </c>
      <c r="L297" s="55">
        <f>K297*J297</f>
        <v>746.55507539999985</v>
      </c>
      <c r="M297" s="54">
        <f>L297/$O$8</f>
        <v>4.4609889002530972E-4</v>
      </c>
      <c r="N297" s="131"/>
      <c r="O297" s="52"/>
      <c r="P297" s="51">
        <v>28.3</v>
      </c>
      <c r="Q297" s="50">
        <v>26.77</v>
      </c>
      <c r="R297" s="49">
        <v>757.59</v>
      </c>
      <c r="S297" s="48">
        <v>927.82047299999999</v>
      </c>
      <c r="T297" s="82">
        <v>0</v>
      </c>
      <c r="U297" s="44">
        <f>T297*K297</f>
        <v>0</v>
      </c>
      <c r="V297" s="46"/>
      <c r="W297" s="82">
        <f>T297</f>
        <v>0</v>
      </c>
      <c r="X297" s="44">
        <f>U297</f>
        <v>0</v>
      </c>
      <c r="Y297" s="46"/>
      <c r="Z297" s="82">
        <f>T297-W297</f>
        <v>0</v>
      </c>
      <c r="AA297" s="47">
        <f>L297-X297</f>
        <v>746.55507539999985</v>
      </c>
      <c r="AB297" s="43"/>
    </row>
    <row r="298" spans="1:28">
      <c r="A298" s="133"/>
      <c r="B298" s="133"/>
      <c r="C298" s="132"/>
      <c r="D298" s="132"/>
      <c r="E298" s="59" t="s">
        <v>209</v>
      </c>
      <c r="F298" s="58">
        <v>91936</v>
      </c>
      <c r="G298" s="58" t="s">
        <v>26</v>
      </c>
      <c r="H298" s="59" t="s">
        <v>208</v>
      </c>
      <c r="I298" s="58" t="s">
        <v>24</v>
      </c>
      <c r="J298" s="57">
        <f>VLOOKUP(F298,'[1]Planilha Orçamentária'!B298:J675,5,FALSE)</f>
        <v>107</v>
      </c>
      <c r="K298" s="56">
        <f>VLOOKUP(F298,'[1]Planilha Orçamentária'!B299:J675,7,FALSE)*$K$1</f>
        <v>22.558973999999996</v>
      </c>
      <c r="L298" s="55">
        <f>K298*J298</f>
        <v>2413.8102179999996</v>
      </c>
      <c r="M298" s="54">
        <f>L298/$O$8</f>
        <v>1.4423558213767531E-3</v>
      </c>
      <c r="N298" s="131"/>
      <c r="O298" s="52"/>
      <c r="P298" s="51">
        <v>107</v>
      </c>
      <c r="Q298" s="50">
        <v>23.78</v>
      </c>
      <c r="R298" s="49">
        <v>2544.46</v>
      </c>
      <c r="S298" s="48">
        <v>3116.2001619999996</v>
      </c>
      <c r="T298" s="82">
        <v>0</v>
      </c>
      <c r="U298" s="44">
        <f>T298*K298</f>
        <v>0</v>
      </c>
      <c r="V298" s="46"/>
      <c r="W298" s="82">
        <f>T298</f>
        <v>0</v>
      </c>
      <c r="X298" s="44">
        <f>U298</f>
        <v>0</v>
      </c>
      <c r="Y298" s="46"/>
      <c r="Z298" s="82">
        <f>T298-W298</f>
        <v>0</v>
      </c>
      <c r="AA298" s="47">
        <f>L298-X298</f>
        <v>2413.8102179999996</v>
      </c>
      <c r="AB298" s="43"/>
    </row>
    <row r="299" spans="1:28" ht="25.5">
      <c r="A299" s="133"/>
      <c r="B299" s="133"/>
      <c r="C299" s="132"/>
      <c r="D299" s="132"/>
      <c r="E299" s="59" t="s">
        <v>207</v>
      </c>
      <c r="F299" s="58">
        <v>91940</v>
      </c>
      <c r="G299" s="58" t="s">
        <v>26</v>
      </c>
      <c r="H299" s="59" t="s">
        <v>206</v>
      </c>
      <c r="I299" s="58" t="s">
        <v>24</v>
      </c>
      <c r="J299" s="57">
        <f>VLOOKUP(F299,'[1]Planilha Orçamentária'!B299:J676,5,FALSE)</f>
        <v>76</v>
      </c>
      <c r="K299" s="56">
        <f>VLOOKUP(F299,'[1]Planilha Orçamentária'!B300:J676,7,FALSE)*$K$1</f>
        <v>23.018236499999997</v>
      </c>
      <c r="L299" s="55">
        <f>K299*J299</f>
        <v>1749.3859739999998</v>
      </c>
      <c r="M299" s="54">
        <f>L299/$O$8</f>
        <v>1.0453336491070158E-3</v>
      </c>
      <c r="N299" s="131"/>
      <c r="O299" s="52"/>
      <c r="P299" s="51">
        <v>76</v>
      </c>
      <c r="Q299" s="50">
        <v>24.26</v>
      </c>
      <c r="R299" s="49">
        <v>1843.76</v>
      </c>
      <c r="S299" s="48">
        <v>2258.0528719999998</v>
      </c>
      <c r="T299" s="82">
        <v>0</v>
      </c>
      <c r="U299" s="44">
        <f>T299*K299</f>
        <v>0</v>
      </c>
      <c r="V299" s="46"/>
      <c r="W299" s="82">
        <f>T299</f>
        <v>0</v>
      </c>
      <c r="X299" s="44">
        <f>U299</f>
        <v>0</v>
      </c>
      <c r="Y299" s="46"/>
      <c r="Z299" s="82">
        <f>T299-W299</f>
        <v>0</v>
      </c>
      <c r="AA299" s="47">
        <f>L299-X299</f>
        <v>1749.3859739999998</v>
      </c>
      <c r="AB299" s="43"/>
    </row>
    <row r="300" spans="1:28" ht="25.5">
      <c r="A300" s="133"/>
      <c r="B300" s="133"/>
      <c r="C300" s="132"/>
      <c r="D300" s="132"/>
      <c r="E300" s="59" t="s">
        <v>205</v>
      </c>
      <c r="F300" s="58" t="s">
        <v>204</v>
      </c>
      <c r="G300" s="58" t="s">
        <v>33</v>
      </c>
      <c r="H300" s="59" t="s">
        <v>203</v>
      </c>
      <c r="I300" s="58" t="s">
        <v>24</v>
      </c>
      <c r="J300" s="57">
        <f>VLOOKUP(F300,'[1]Planilha Orçamentária'!B300:J677,5,FALSE)</f>
        <v>12</v>
      </c>
      <c r="K300" s="56">
        <f>VLOOKUP(F300,'[1]Planilha Orçamentária'!B301:J677,7,FALSE)*$K$1</f>
        <v>77.110173750000001</v>
      </c>
      <c r="L300" s="55">
        <f>K300*J300</f>
        <v>925.32208500000002</v>
      </c>
      <c r="M300" s="54">
        <f>L300/$O$8</f>
        <v>5.5291989651699489E-4</v>
      </c>
      <c r="N300" s="131"/>
      <c r="O300" s="52"/>
      <c r="P300" s="51">
        <v>12</v>
      </c>
      <c r="Q300" s="50">
        <v>72.930000000000007</v>
      </c>
      <c r="R300" s="49">
        <v>875.16</v>
      </c>
      <c r="S300" s="48">
        <v>1071.8084519999998</v>
      </c>
      <c r="T300" s="82">
        <v>0</v>
      </c>
      <c r="U300" s="44">
        <f>T300*K300</f>
        <v>0</v>
      </c>
      <c r="V300" s="46"/>
      <c r="W300" s="82">
        <f>T300</f>
        <v>0</v>
      </c>
      <c r="X300" s="44">
        <f>U300</f>
        <v>0</v>
      </c>
      <c r="Y300" s="46"/>
      <c r="Z300" s="82">
        <f>T300-W300</f>
        <v>0</v>
      </c>
      <c r="AA300" s="47">
        <f>L300-X300</f>
        <v>925.32208500000002</v>
      </c>
      <c r="AB300" s="43"/>
    </row>
    <row r="301" spans="1:28" ht="25.5">
      <c r="A301" s="133"/>
      <c r="B301" s="133"/>
      <c r="C301" s="132"/>
      <c r="D301" s="132"/>
      <c r="E301" s="59" t="s">
        <v>202</v>
      </c>
      <c r="F301" s="58" t="s">
        <v>201</v>
      </c>
      <c r="G301" s="58" t="s">
        <v>33</v>
      </c>
      <c r="H301" s="59" t="s">
        <v>200</v>
      </c>
      <c r="I301" s="58" t="s">
        <v>24</v>
      </c>
      <c r="J301" s="57">
        <f>VLOOKUP(F301,'[1]Planilha Orçamentária'!B301:J678,5,FALSE)</f>
        <v>15</v>
      </c>
      <c r="K301" s="56">
        <f>VLOOKUP(F301,'[1]Planilha Orçamentária'!B302:J678,7,FALSE)*$K$1</f>
        <v>50.077982999999996</v>
      </c>
      <c r="L301" s="55">
        <f>K301*J301</f>
        <v>751.16974499999992</v>
      </c>
      <c r="M301" s="54">
        <f>L301/$O$8</f>
        <v>4.4885635434941274E-4</v>
      </c>
      <c r="N301" s="131"/>
      <c r="O301" s="52"/>
      <c r="P301" s="51">
        <v>15</v>
      </c>
      <c r="Q301" s="50">
        <v>54.53</v>
      </c>
      <c r="R301" s="49">
        <v>817.95</v>
      </c>
      <c r="S301" s="48">
        <v>1001.7433649999999</v>
      </c>
      <c r="T301" s="45">
        <v>0</v>
      </c>
      <c r="U301" s="44">
        <f>T301*K301</f>
        <v>0</v>
      </c>
      <c r="V301" s="46"/>
      <c r="W301" s="45">
        <f>T301</f>
        <v>0</v>
      </c>
      <c r="X301" s="44">
        <f>U301</f>
        <v>0</v>
      </c>
      <c r="Y301" s="46"/>
      <c r="Z301" s="45">
        <f>T301-W301</f>
        <v>0</v>
      </c>
      <c r="AA301" s="47">
        <f>L301-X301</f>
        <v>751.16974499999992</v>
      </c>
      <c r="AB301" s="43"/>
    </row>
    <row r="302" spans="1:28" ht="25.5">
      <c r="A302" s="133"/>
      <c r="B302" s="133"/>
      <c r="C302" s="132"/>
      <c r="D302" s="132"/>
      <c r="E302" s="59" t="s">
        <v>199</v>
      </c>
      <c r="F302" s="58">
        <v>91953</v>
      </c>
      <c r="G302" s="58" t="s">
        <v>26</v>
      </c>
      <c r="H302" s="59" t="s">
        <v>198</v>
      </c>
      <c r="I302" s="58" t="s">
        <v>24</v>
      </c>
      <c r="J302" s="57">
        <f>VLOOKUP(F302,'[1]Planilha Orçamentária'!B302:J679,5,FALSE)</f>
        <v>17</v>
      </c>
      <c r="K302" s="56">
        <f>VLOOKUP(F302,'[1]Planilha Orçamentária'!B303:J679,7,FALSE)*$K$1</f>
        <v>33.0852705</v>
      </c>
      <c r="L302" s="55">
        <f>K302*J302</f>
        <v>562.44959849999998</v>
      </c>
      <c r="M302" s="54">
        <f>L302/$O$8</f>
        <v>3.3608791883384619E-4</v>
      </c>
      <c r="N302" s="131"/>
      <c r="O302" s="52"/>
      <c r="P302" s="51">
        <v>17</v>
      </c>
      <c r="Q302" s="50">
        <v>34.54</v>
      </c>
      <c r="R302" s="49">
        <v>587.17999999999995</v>
      </c>
      <c r="S302" s="48">
        <v>719.11934599999984</v>
      </c>
      <c r="T302" s="82">
        <v>0</v>
      </c>
      <c r="U302" s="44">
        <f>T302*K302</f>
        <v>0</v>
      </c>
      <c r="V302" s="46"/>
      <c r="W302" s="82">
        <f>T302</f>
        <v>0</v>
      </c>
      <c r="X302" s="44">
        <f>U302</f>
        <v>0</v>
      </c>
      <c r="Y302" s="46"/>
      <c r="Z302" s="82">
        <f>T302-W302</f>
        <v>0</v>
      </c>
      <c r="AA302" s="47">
        <f>L302-X302</f>
        <v>562.44959849999998</v>
      </c>
      <c r="AB302" s="43"/>
    </row>
    <row r="303" spans="1:28" ht="25.5">
      <c r="A303" s="133"/>
      <c r="B303" s="133"/>
      <c r="C303" s="132"/>
      <c r="D303" s="132"/>
      <c r="E303" s="59" t="s">
        <v>197</v>
      </c>
      <c r="F303" s="58">
        <v>91996</v>
      </c>
      <c r="G303" s="58" t="s">
        <v>26</v>
      </c>
      <c r="H303" s="59" t="s">
        <v>196</v>
      </c>
      <c r="I303" s="58" t="s">
        <v>24</v>
      </c>
      <c r="J303" s="57">
        <f>VLOOKUP(F303,'[1]Planilha Orçamentária'!B303:J680,5,FALSE)</f>
        <v>27</v>
      </c>
      <c r="K303" s="56">
        <f>VLOOKUP(F303,'[1]Planilha Orçamentária'!B304:J680,7,FALSE)*$K$1</f>
        <v>39.542501249999987</v>
      </c>
      <c r="L303" s="55">
        <f>K303*J303</f>
        <v>1067.6475337499996</v>
      </c>
      <c r="M303" s="54">
        <f>L303/$O$8</f>
        <v>6.3796549703844436E-4</v>
      </c>
      <c r="N303" s="131"/>
      <c r="O303" s="52"/>
      <c r="P303" s="51">
        <v>27</v>
      </c>
      <c r="Q303" s="50">
        <v>41.3</v>
      </c>
      <c r="R303" s="49">
        <v>1115.0999999999999</v>
      </c>
      <c r="S303" s="48">
        <v>1365.6629699999999</v>
      </c>
      <c r="T303" s="82">
        <v>0</v>
      </c>
      <c r="U303" s="44">
        <f>T303*K303</f>
        <v>0</v>
      </c>
      <c r="V303" s="46"/>
      <c r="W303" s="82">
        <f>T303</f>
        <v>0</v>
      </c>
      <c r="X303" s="44">
        <f>U303</f>
        <v>0</v>
      </c>
      <c r="Y303" s="46"/>
      <c r="Z303" s="82">
        <f>T303-W303</f>
        <v>0</v>
      </c>
      <c r="AA303" s="47">
        <f>L303-X303</f>
        <v>1067.6475337499996</v>
      </c>
      <c r="AB303" s="43"/>
    </row>
    <row r="304" spans="1:28" ht="25.5">
      <c r="A304" s="133"/>
      <c r="B304" s="133"/>
      <c r="C304" s="132"/>
      <c r="D304" s="132"/>
      <c r="E304" s="59" t="s">
        <v>195</v>
      </c>
      <c r="F304" s="58">
        <v>91997</v>
      </c>
      <c r="G304" s="58" t="s">
        <v>26</v>
      </c>
      <c r="H304" s="59" t="s">
        <v>194</v>
      </c>
      <c r="I304" s="58" t="s">
        <v>24</v>
      </c>
      <c r="J304" s="57">
        <f>VLOOKUP(F304,'[1]Planilha Orçamentária'!B304:J681,5,FALSE)</f>
        <v>2</v>
      </c>
      <c r="K304" s="56">
        <f>VLOOKUP(F304,'[1]Planilha Orçamentária'!B305:J681,7,FALSE)*$K$1</f>
        <v>41.278513499999995</v>
      </c>
      <c r="L304" s="55">
        <f>K304*J304</f>
        <v>82.557026999999991</v>
      </c>
      <c r="M304" s="54">
        <f>L304/$O$8</f>
        <v>4.9331388027543676E-5</v>
      </c>
      <c r="N304" s="131"/>
      <c r="O304" s="52"/>
      <c r="P304" s="51">
        <v>2</v>
      </c>
      <c r="Q304" s="50">
        <v>43.08</v>
      </c>
      <c r="R304" s="49">
        <v>86.16</v>
      </c>
      <c r="S304" s="48">
        <v>105.52015199999998</v>
      </c>
      <c r="T304" s="82">
        <v>0</v>
      </c>
      <c r="U304" s="44">
        <f>T304*K304</f>
        <v>0</v>
      </c>
      <c r="V304" s="46"/>
      <c r="W304" s="82">
        <f>T304</f>
        <v>0</v>
      </c>
      <c r="X304" s="44">
        <f>U304</f>
        <v>0</v>
      </c>
      <c r="Y304" s="46"/>
      <c r="Z304" s="82">
        <f>T304-W304</f>
        <v>0</v>
      </c>
      <c r="AA304" s="47">
        <f>L304-X304</f>
        <v>82.557026999999991</v>
      </c>
      <c r="AB304" s="43"/>
    </row>
    <row r="305" spans="1:28" ht="25.5">
      <c r="A305" s="133"/>
      <c r="B305" s="133"/>
      <c r="C305" s="132"/>
      <c r="D305" s="132"/>
      <c r="E305" s="59" t="s">
        <v>193</v>
      </c>
      <c r="F305" s="58">
        <v>92004</v>
      </c>
      <c r="G305" s="58" t="s">
        <v>26</v>
      </c>
      <c r="H305" s="59" t="s">
        <v>192</v>
      </c>
      <c r="I305" s="58" t="s">
        <v>24</v>
      </c>
      <c r="J305" s="57">
        <f>VLOOKUP(F305,'[1]Planilha Orçamentária'!B305:J682,5,FALSE)</f>
        <v>2</v>
      </c>
      <c r="K305" s="56">
        <f>VLOOKUP(F305,'[1]Planilha Orçamentária'!B306:J682,7,FALSE)*$K$1</f>
        <v>62.836295249999992</v>
      </c>
      <c r="L305" s="55">
        <f>K305*J305</f>
        <v>125.67259049999998</v>
      </c>
      <c r="M305" s="54">
        <f>L305/$O$8</f>
        <v>7.5094798730846975E-5</v>
      </c>
      <c r="N305" s="131"/>
      <c r="O305" s="52"/>
      <c r="P305" s="51">
        <v>2</v>
      </c>
      <c r="Q305" s="50">
        <v>65.63</v>
      </c>
      <c r="R305" s="49">
        <v>131.26</v>
      </c>
      <c r="S305" s="48">
        <v>160.75412199999997</v>
      </c>
      <c r="T305" s="82">
        <v>0</v>
      </c>
      <c r="U305" s="44">
        <f>T305*K305</f>
        <v>0</v>
      </c>
      <c r="V305" s="46"/>
      <c r="W305" s="82">
        <f>T305</f>
        <v>0</v>
      </c>
      <c r="X305" s="44">
        <f>U305</f>
        <v>0</v>
      </c>
      <c r="Y305" s="46"/>
      <c r="Z305" s="82">
        <f>T305-W305</f>
        <v>0</v>
      </c>
      <c r="AA305" s="47">
        <f>L305-X305</f>
        <v>125.67259049999998</v>
      </c>
      <c r="AB305" s="43"/>
    </row>
    <row r="306" spans="1:28" ht="25.5">
      <c r="A306" s="133"/>
      <c r="B306" s="133"/>
      <c r="C306" s="132"/>
      <c r="D306" s="132"/>
      <c r="E306" s="59" t="s">
        <v>191</v>
      </c>
      <c r="F306" s="58">
        <v>101632</v>
      </c>
      <c r="G306" s="58" t="s">
        <v>26</v>
      </c>
      <c r="H306" s="59" t="s">
        <v>190</v>
      </c>
      <c r="I306" s="58" t="s">
        <v>24</v>
      </c>
      <c r="J306" s="57">
        <f>VLOOKUP(F306,'[1]Planilha Orçamentária'!B306:J683,5,FALSE)</f>
        <v>5</v>
      </c>
      <c r="K306" s="56">
        <f>VLOOKUP(F306,'[1]Planilha Orçamentária'!B307:J683,7,FALSE)*$K$1</f>
        <v>21.750671999999994</v>
      </c>
      <c r="L306" s="55">
        <f>K306*J306</f>
        <v>108.75335999999997</v>
      </c>
      <c r="M306" s="54">
        <f>L306/$O$8</f>
        <v>6.4984828020262246E-5</v>
      </c>
      <c r="N306" s="131"/>
      <c r="O306" s="52"/>
      <c r="P306" s="51">
        <v>5</v>
      </c>
      <c r="Q306" s="50">
        <v>23.63</v>
      </c>
      <c r="R306" s="49">
        <v>118.15</v>
      </c>
      <c r="S306" s="48">
        <v>144.698305</v>
      </c>
      <c r="T306" s="82">
        <v>0</v>
      </c>
      <c r="U306" s="44">
        <f>T306*K306</f>
        <v>0</v>
      </c>
      <c r="V306" s="46"/>
      <c r="W306" s="82">
        <f>T306</f>
        <v>0</v>
      </c>
      <c r="X306" s="44">
        <f>U306</f>
        <v>0</v>
      </c>
      <c r="Y306" s="46"/>
      <c r="Z306" s="82">
        <f>T306-W306</f>
        <v>0</v>
      </c>
      <c r="AA306" s="47">
        <f>L306-X306</f>
        <v>108.75335999999997</v>
      </c>
      <c r="AB306" s="43"/>
    </row>
    <row r="307" spans="1:28" ht="25.5">
      <c r="A307" s="133"/>
      <c r="B307" s="133"/>
      <c r="C307" s="132"/>
      <c r="D307" s="132"/>
      <c r="E307" s="59" t="s">
        <v>189</v>
      </c>
      <c r="F307" s="58">
        <v>97605</v>
      </c>
      <c r="G307" s="58" t="s">
        <v>26</v>
      </c>
      <c r="H307" s="59" t="s">
        <v>188</v>
      </c>
      <c r="I307" s="58" t="s">
        <v>24</v>
      </c>
      <c r="J307" s="57">
        <f>VLOOKUP(F307,'[1]Planilha Orçamentária'!B307:J684,5,FALSE)</f>
        <v>23</v>
      </c>
      <c r="K307" s="56">
        <f>VLOOKUP(F307,'[1]Planilha Orçamentária'!B308:J684,7,FALSE)*$K$1</f>
        <v>58.71211799999999</v>
      </c>
      <c r="L307" s="55">
        <f>K307*J307</f>
        <v>1350.3787139999997</v>
      </c>
      <c r="M307" s="54">
        <f>L307/$O$8</f>
        <v>8.0690958414078335E-4</v>
      </c>
      <c r="N307" s="131"/>
      <c r="O307" s="52"/>
      <c r="P307" s="51">
        <v>23</v>
      </c>
      <c r="Q307" s="50">
        <v>63.21</v>
      </c>
      <c r="R307" s="49">
        <v>1453.83</v>
      </c>
      <c r="S307" s="48">
        <v>1780.5056009999998</v>
      </c>
      <c r="T307" s="82">
        <v>0</v>
      </c>
      <c r="U307" s="44">
        <f>T307*K307</f>
        <v>0</v>
      </c>
      <c r="V307" s="46"/>
      <c r="W307" s="82">
        <f>T307</f>
        <v>0</v>
      </c>
      <c r="X307" s="44">
        <f>U307</f>
        <v>0</v>
      </c>
      <c r="Y307" s="46"/>
      <c r="Z307" s="82">
        <f>T307-W307</f>
        <v>0</v>
      </c>
      <c r="AA307" s="47">
        <f>L307-X307</f>
        <v>1350.3787139999997</v>
      </c>
      <c r="AB307" s="43"/>
    </row>
    <row r="308" spans="1:28" ht="38.25">
      <c r="A308" s="133"/>
      <c r="B308" s="133"/>
      <c r="C308" s="132"/>
      <c r="D308" s="132"/>
      <c r="E308" s="59" t="s">
        <v>187</v>
      </c>
      <c r="F308" s="58" t="s">
        <v>186</v>
      </c>
      <c r="G308" s="58" t="s">
        <v>33</v>
      </c>
      <c r="H308" s="59" t="s">
        <v>185</v>
      </c>
      <c r="I308" s="58" t="s">
        <v>24</v>
      </c>
      <c r="J308" s="57">
        <f>VLOOKUP(F308,'[1]Planilha Orçamentária'!B308:J685,5,FALSE)</f>
        <v>84</v>
      </c>
      <c r="K308" s="56">
        <f>VLOOKUP(F308,'[1]Planilha Orçamentária'!B309:J685,7,FALSE)*$K$1</f>
        <v>276.37498724999995</v>
      </c>
      <c r="L308" s="55">
        <f>K308*J308</f>
        <v>23215.498928999994</v>
      </c>
      <c r="M308" s="54">
        <f>L308/$O$8</f>
        <v>1.3872262937951041E-2</v>
      </c>
      <c r="N308" s="131"/>
      <c r="O308" s="52"/>
      <c r="P308" s="51">
        <v>84</v>
      </c>
      <c r="Q308" s="50">
        <v>300.89</v>
      </c>
      <c r="R308" s="49">
        <v>25274.76</v>
      </c>
      <c r="S308" s="48">
        <v>30953.998571999997</v>
      </c>
      <c r="T308" s="82">
        <v>0</v>
      </c>
      <c r="U308" s="44">
        <f>T308*K308</f>
        <v>0</v>
      </c>
      <c r="V308" s="46"/>
      <c r="W308" s="82">
        <f>T308</f>
        <v>0</v>
      </c>
      <c r="X308" s="44">
        <f>U308</f>
        <v>0</v>
      </c>
      <c r="Y308" s="46"/>
      <c r="Z308" s="82">
        <f>T308-W308</f>
        <v>0</v>
      </c>
      <c r="AA308" s="47">
        <f>L308-X308</f>
        <v>23215.498928999994</v>
      </c>
      <c r="AB308" s="43"/>
    </row>
    <row r="309" spans="1:28">
      <c r="A309" s="133"/>
      <c r="B309" s="133"/>
      <c r="C309" s="132"/>
      <c r="D309" s="132"/>
      <c r="E309" s="59" t="s">
        <v>184</v>
      </c>
      <c r="F309" s="58">
        <v>39390</v>
      </c>
      <c r="G309" s="58" t="s">
        <v>26</v>
      </c>
      <c r="H309" s="59" t="s">
        <v>183</v>
      </c>
      <c r="I309" s="58" t="s">
        <v>24</v>
      </c>
      <c r="J309" s="57">
        <f>VLOOKUP(F309,'[1]Planilha Orçamentária'!B309:J686,5,FALSE)</f>
        <v>2</v>
      </c>
      <c r="K309" s="56">
        <f>VLOOKUP(F309,'[1]Planilha Orçamentária'!B310:J686,7,FALSE)*$K$1</f>
        <v>18.958355999999998</v>
      </c>
      <c r="L309" s="55">
        <f>K309*J309</f>
        <v>37.916711999999997</v>
      </c>
      <c r="M309" s="54">
        <f>L309/$O$8</f>
        <v>2.2656872471929272E-5</v>
      </c>
      <c r="N309" s="131"/>
      <c r="O309" s="52"/>
      <c r="P309" s="51">
        <v>2</v>
      </c>
      <c r="Q309" s="50">
        <v>20.9</v>
      </c>
      <c r="R309" s="49">
        <v>41.8</v>
      </c>
      <c r="S309" s="48">
        <v>51.19245999999999</v>
      </c>
      <c r="T309" s="82">
        <v>0</v>
      </c>
      <c r="U309" s="44">
        <f>T309*K309</f>
        <v>0</v>
      </c>
      <c r="V309" s="46"/>
      <c r="W309" s="82">
        <f>T309</f>
        <v>0</v>
      </c>
      <c r="X309" s="44">
        <f>U309</f>
        <v>0</v>
      </c>
      <c r="Y309" s="46"/>
      <c r="Z309" s="82">
        <f>T309-W309</f>
        <v>0</v>
      </c>
      <c r="AA309" s="47">
        <f>L309-X309</f>
        <v>37.916711999999997</v>
      </c>
      <c r="AB309" s="43"/>
    </row>
    <row r="310" spans="1:28" ht="25.5">
      <c r="A310" s="133"/>
      <c r="B310" s="133"/>
      <c r="C310" s="132"/>
      <c r="D310" s="132"/>
      <c r="E310" s="59" t="s">
        <v>182</v>
      </c>
      <c r="F310" s="58" t="s">
        <v>181</v>
      </c>
      <c r="G310" s="58" t="s">
        <v>52</v>
      </c>
      <c r="H310" s="59" t="s">
        <v>180</v>
      </c>
      <c r="I310" s="58" t="s">
        <v>24</v>
      </c>
      <c r="J310" s="57">
        <f>VLOOKUP(F310,'[1]Planilha Orçamentária'!B310:J687,5,FALSE)</f>
        <v>6</v>
      </c>
      <c r="K310" s="56">
        <f>VLOOKUP(F310,'[1]Planilha Orçamentária'!B311:J687,7,FALSE)*$K$1</f>
        <v>159.69475650000001</v>
      </c>
      <c r="L310" s="55">
        <f>K310*J310</f>
        <v>958.16853900000001</v>
      </c>
      <c r="M310" s="54">
        <f>L310/$O$8</f>
        <v>5.7254707092581738E-4</v>
      </c>
      <c r="N310" s="131"/>
      <c r="O310" s="52"/>
      <c r="P310" s="51">
        <v>6</v>
      </c>
      <c r="Q310" s="50">
        <v>173.12</v>
      </c>
      <c r="R310" s="49">
        <v>1038.72</v>
      </c>
      <c r="S310" s="48">
        <v>1272.1203839999998</v>
      </c>
      <c r="T310" s="82">
        <v>0</v>
      </c>
      <c r="U310" s="44">
        <f>T310*K310</f>
        <v>0</v>
      </c>
      <c r="V310" s="46"/>
      <c r="W310" s="82">
        <f>T310</f>
        <v>0</v>
      </c>
      <c r="X310" s="44">
        <f>U310</f>
        <v>0</v>
      </c>
      <c r="Y310" s="46"/>
      <c r="Z310" s="82">
        <f>T310-W310</f>
        <v>0</v>
      </c>
      <c r="AA310" s="47">
        <f>L310-X310</f>
        <v>958.16853900000001</v>
      </c>
      <c r="AB310" s="43"/>
    </row>
    <row r="311" spans="1:28" ht="25.5">
      <c r="A311" s="133"/>
      <c r="B311" s="133"/>
      <c r="C311" s="132"/>
      <c r="D311" s="132"/>
      <c r="E311" s="59" t="s">
        <v>179</v>
      </c>
      <c r="F311" s="58" t="s">
        <v>178</v>
      </c>
      <c r="G311" s="58" t="s">
        <v>52</v>
      </c>
      <c r="H311" s="59" t="s">
        <v>177</v>
      </c>
      <c r="I311" s="58" t="s">
        <v>24</v>
      </c>
      <c r="J311" s="57">
        <f>VLOOKUP(F311,'[1]Planilha Orçamentária'!B311:J688,5,FALSE)</f>
        <v>13</v>
      </c>
      <c r="K311" s="56">
        <f>VLOOKUP(F311,'[1]Planilha Orçamentária'!B312:J688,7,FALSE)*$K$1</f>
        <v>153.724344</v>
      </c>
      <c r="L311" s="55">
        <f>K311*J311</f>
        <v>1998.4164720000001</v>
      </c>
      <c r="M311" s="54">
        <f>L311/$O$8</f>
        <v>1.1941401235399003E-3</v>
      </c>
      <c r="N311" s="131"/>
      <c r="O311" s="52"/>
      <c r="P311" s="51">
        <v>13</v>
      </c>
      <c r="Q311" s="50">
        <v>166.69</v>
      </c>
      <c r="R311" s="49">
        <v>2166.9699999999998</v>
      </c>
      <c r="S311" s="48">
        <v>2653.8881589999996</v>
      </c>
      <c r="T311" s="82">
        <v>0</v>
      </c>
      <c r="U311" s="44">
        <f>T311*K311</f>
        <v>0</v>
      </c>
      <c r="V311" s="46"/>
      <c r="W311" s="82">
        <f>T311</f>
        <v>0</v>
      </c>
      <c r="X311" s="44">
        <f>U311</f>
        <v>0</v>
      </c>
      <c r="Y311" s="46"/>
      <c r="Z311" s="82">
        <f>T311-W311</f>
        <v>0</v>
      </c>
      <c r="AA311" s="47">
        <f>L311-X311</f>
        <v>1998.4164720000001</v>
      </c>
      <c r="AB311" s="43"/>
    </row>
    <row r="312" spans="1:28" ht="25.5">
      <c r="A312" s="133"/>
      <c r="B312" s="133"/>
      <c r="C312" s="132"/>
      <c r="D312" s="132"/>
      <c r="E312" s="59" t="s">
        <v>176</v>
      </c>
      <c r="F312" s="58">
        <v>90447</v>
      </c>
      <c r="G312" s="58" t="s">
        <v>26</v>
      </c>
      <c r="H312" s="59" t="s">
        <v>175</v>
      </c>
      <c r="I312" s="58" t="s">
        <v>88</v>
      </c>
      <c r="J312" s="57">
        <f>VLOOKUP(F312,'[1]Planilha Orçamentária'!B312:J689,5,FALSE)</f>
        <v>84.5</v>
      </c>
      <c r="K312" s="56">
        <f>VLOOKUP(F312,'[1]Planilha Orçamentária'!B313:J689,7,FALSE)*$K$1</f>
        <v>10.599778499999998</v>
      </c>
      <c r="L312" s="55">
        <f>K312*J312</f>
        <v>895.68128324999975</v>
      </c>
      <c r="M312" s="54">
        <f>L312/$O$8</f>
        <v>5.3520823773140467E-4</v>
      </c>
      <c r="N312" s="131"/>
      <c r="O312" s="52"/>
      <c r="P312" s="51">
        <v>84.5</v>
      </c>
      <c r="Q312" s="50">
        <v>11.09</v>
      </c>
      <c r="R312" s="49">
        <v>937.1</v>
      </c>
      <c r="S312" s="48">
        <v>1147.6663699999999</v>
      </c>
      <c r="T312" s="82">
        <v>0</v>
      </c>
      <c r="U312" s="44">
        <f>T312*K312</f>
        <v>0</v>
      </c>
      <c r="V312" s="46"/>
      <c r="W312" s="82">
        <f>T312</f>
        <v>0</v>
      </c>
      <c r="X312" s="44">
        <f>U312</f>
        <v>0</v>
      </c>
      <c r="Y312" s="46"/>
      <c r="Z312" s="82">
        <f>T312-W312</f>
        <v>0</v>
      </c>
      <c r="AA312" s="47">
        <f>L312-X312</f>
        <v>895.68128324999975</v>
      </c>
      <c r="AB312" s="43"/>
    </row>
    <row r="313" spans="1:28">
      <c r="A313" s="133"/>
      <c r="B313" s="133"/>
      <c r="C313" s="132"/>
      <c r="D313" s="132"/>
      <c r="E313" s="59" t="s">
        <v>174</v>
      </c>
      <c r="F313" s="58">
        <v>90456</v>
      </c>
      <c r="G313" s="58" t="s">
        <v>26</v>
      </c>
      <c r="H313" s="59" t="s">
        <v>173</v>
      </c>
      <c r="I313" s="58" t="s">
        <v>24</v>
      </c>
      <c r="J313" s="57">
        <f>VLOOKUP(F313,'[1]Planilha Orçamentária'!B313:J690,5,FALSE)</f>
        <v>48</v>
      </c>
      <c r="K313" s="56">
        <f>VLOOKUP(F313,'[1]Planilha Orçamentária'!B314:J690,7,FALSE)*$K$1</f>
        <v>7.0267162500000007</v>
      </c>
      <c r="L313" s="55">
        <f>K313*J313</f>
        <v>337.28238000000005</v>
      </c>
      <c r="M313" s="54">
        <f>L313/$O$8</f>
        <v>2.0154078419797554E-4</v>
      </c>
      <c r="N313" s="131"/>
      <c r="O313" s="52"/>
      <c r="P313" s="51">
        <v>48</v>
      </c>
      <c r="Q313" s="50">
        <v>7.35</v>
      </c>
      <c r="R313" s="49">
        <v>352.8</v>
      </c>
      <c r="S313" s="48">
        <v>432.07416000000001</v>
      </c>
      <c r="T313" s="45">
        <v>0</v>
      </c>
      <c r="U313" s="44">
        <f>T313*K313</f>
        <v>0</v>
      </c>
      <c r="V313" s="46"/>
      <c r="W313" s="45">
        <f>T313</f>
        <v>0</v>
      </c>
      <c r="X313" s="44">
        <f>U313</f>
        <v>0</v>
      </c>
      <c r="Y313" s="46"/>
      <c r="Z313" s="45">
        <f>T313-W313</f>
        <v>0</v>
      </c>
      <c r="AA313" s="47">
        <f>L313-X313</f>
        <v>337.28238000000005</v>
      </c>
      <c r="AB313" s="43"/>
    </row>
    <row r="314" spans="1:28" ht="26.25" thickBot="1">
      <c r="A314" s="130"/>
      <c r="B314" s="130"/>
      <c r="C314" s="129"/>
      <c r="D314" s="129"/>
      <c r="E314" s="40" t="s">
        <v>172</v>
      </c>
      <c r="F314" s="39">
        <v>90466</v>
      </c>
      <c r="G314" s="39" t="s">
        <v>26</v>
      </c>
      <c r="H314" s="40" t="s">
        <v>171</v>
      </c>
      <c r="I314" s="39" t="s">
        <v>88</v>
      </c>
      <c r="J314" s="38">
        <f>VLOOKUP(F314,'[1]Planilha Orçamentária'!B314:J691,5,FALSE)</f>
        <v>84.5</v>
      </c>
      <c r="K314" s="37">
        <f>VLOOKUP(F314,'[1]Planilha Orçamentária'!B315:J691,7,FALSE)*$K$1</f>
        <v>18.499093500000001</v>
      </c>
      <c r="L314" s="36">
        <f>K314*J314</f>
        <v>1563.1734007500002</v>
      </c>
      <c r="M314" s="35">
        <f>L314/$O$8</f>
        <v>9.3406359687265986E-4</v>
      </c>
      <c r="N314" s="128"/>
      <c r="O314" s="33"/>
      <c r="P314" s="51">
        <v>84.5</v>
      </c>
      <c r="Q314" s="50">
        <v>19.75</v>
      </c>
      <c r="R314" s="49">
        <v>1668.87</v>
      </c>
      <c r="S314" s="48">
        <v>2043.8650889999997</v>
      </c>
      <c r="T314" s="82">
        <v>0</v>
      </c>
      <c r="U314" s="44">
        <f>T314*K314</f>
        <v>0</v>
      </c>
      <c r="V314" s="46"/>
      <c r="W314" s="82">
        <f>T314</f>
        <v>0</v>
      </c>
      <c r="X314" s="44">
        <f>U314</f>
        <v>0</v>
      </c>
      <c r="Y314" s="46"/>
      <c r="Z314" s="82">
        <f>T314-W314</f>
        <v>0</v>
      </c>
      <c r="AA314" s="44">
        <f>L314-X314</f>
        <v>1563.1734007500002</v>
      </c>
      <c r="AB314" s="43"/>
    </row>
    <row r="315" spans="1:28" ht="25.5">
      <c r="A315" s="101" t="s">
        <v>170</v>
      </c>
      <c r="B315" s="101">
        <v>10</v>
      </c>
      <c r="C315" s="126" t="s">
        <v>169</v>
      </c>
      <c r="D315" s="79" t="s">
        <v>168</v>
      </c>
      <c r="E315" s="77" t="s">
        <v>167</v>
      </c>
      <c r="F315" s="77">
        <v>101795</v>
      </c>
      <c r="G315" s="77" t="s">
        <v>26</v>
      </c>
      <c r="H315" s="78" t="s">
        <v>166</v>
      </c>
      <c r="I315" s="77" t="s">
        <v>24</v>
      </c>
      <c r="J315" s="76">
        <f>VLOOKUP(F315,'[1]Planilha Orçamentária'!B315:J692,5,FALSE)</f>
        <v>3</v>
      </c>
      <c r="K315" s="75">
        <f>VLOOKUP(F315,'[1]Planilha Orçamentária'!B316:J692,7,FALSE)*$K$1</f>
        <v>619.70126174999984</v>
      </c>
      <c r="L315" s="74">
        <f>K315*J315</f>
        <v>1859.1037852499994</v>
      </c>
      <c r="M315" s="73">
        <f>L315/$O$8</f>
        <v>1.1108947783892819E-3</v>
      </c>
      <c r="N315" s="112">
        <f>SUM(L315:L316)</f>
        <v>2836.3684589999993</v>
      </c>
      <c r="O315" s="111">
        <f>N315/$O$8</f>
        <v>1.6948526143027787E-3</v>
      </c>
      <c r="P315" s="51">
        <v>3</v>
      </c>
      <c r="Q315" s="50">
        <v>670.29</v>
      </c>
      <c r="R315" s="49">
        <v>2010.87</v>
      </c>
      <c r="S315" s="48">
        <v>2462.7124889999996</v>
      </c>
      <c r="T315" s="64">
        <v>0</v>
      </c>
      <c r="U315" s="66">
        <f>T315*K315</f>
        <v>0</v>
      </c>
      <c r="V315" s="65">
        <f>SUM(U315:U316)</f>
        <v>0</v>
      </c>
      <c r="W315" s="64">
        <f>T315</f>
        <v>0</v>
      </c>
      <c r="X315" s="66">
        <f>U315</f>
        <v>0</v>
      </c>
      <c r="Y315" s="65">
        <f>SUM(X315:X316)</f>
        <v>0</v>
      </c>
      <c r="Z315" s="64">
        <f>T315-W315</f>
        <v>0</v>
      </c>
      <c r="AA315" s="66">
        <f>L315-X315</f>
        <v>1859.1037852499994</v>
      </c>
      <c r="AB315" s="62">
        <f>SUM(AA315:AA316)</f>
        <v>2836.3684589999993</v>
      </c>
    </row>
    <row r="316" spans="1:28" ht="26.25" thickBot="1">
      <c r="A316" s="104"/>
      <c r="B316" s="104"/>
      <c r="C316" s="122"/>
      <c r="D316" s="41"/>
      <c r="E316" s="39" t="s">
        <v>165</v>
      </c>
      <c r="F316" s="39">
        <v>101798</v>
      </c>
      <c r="G316" s="39" t="s">
        <v>26</v>
      </c>
      <c r="H316" s="40" t="s">
        <v>164</v>
      </c>
      <c r="I316" s="39" t="s">
        <v>24</v>
      </c>
      <c r="J316" s="38">
        <f>VLOOKUP(F316,'[1]Planilha Orçamentária'!B316:J693,5,FALSE)</f>
        <v>3</v>
      </c>
      <c r="K316" s="37">
        <f>VLOOKUP(F316,'[1]Planilha Orçamentária'!B317:J693,7,FALSE)*$K$1</f>
        <v>325.7548912499999</v>
      </c>
      <c r="L316" s="36">
        <f>K316*J316</f>
        <v>977.2646737499997</v>
      </c>
      <c r="M316" s="35">
        <f>L316/$O$8</f>
        <v>5.839578359134967E-4</v>
      </c>
      <c r="N316" s="110"/>
      <c r="O316" s="109"/>
      <c r="P316" s="51">
        <v>3</v>
      </c>
      <c r="Q316" s="50">
        <v>308.31</v>
      </c>
      <c r="R316" s="49">
        <v>924.93</v>
      </c>
      <c r="S316" s="48">
        <v>1132.761771</v>
      </c>
      <c r="T316" s="27">
        <v>0</v>
      </c>
      <c r="U316" s="26">
        <f>T316*K316</f>
        <v>0</v>
      </c>
      <c r="V316" s="28"/>
      <c r="W316" s="27">
        <f>T316</f>
        <v>0</v>
      </c>
      <c r="X316" s="26">
        <f>U316</f>
        <v>0</v>
      </c>
      <c r="Y316" s="28"/>
      <c r="Z316" s="27">
        <f>T316-W316</f>
        <v>0</v>
      </c>
      <c r="AA316" s="26">
        <f>L316-X316</f>
        <v>977.2646737499997</v>
      </c>
      <c r="AB316" s="25"/>
    </row>
    <row r="317" spans="1:28" ht="38.25">
      <c r="A317" s="101" t="s">
        <v>163</v>
      </c>
      <c r="B317" s="101">
        <v>10</v>
      </c>
      <c r="C317" s="79" t="s">
        <v>162</v>
      </c>
      <c r="D317" s="79" t="s">
        <v>161</v>
      </c>
      <c r="E317" s="77" t="s">
        <v>160</v>
      </c>
      <c r="F317" s="77">
        <v>92543</v>
      </c>
      <c r="G317" s="77" t="s">
        <v>26</v>
      </c>
      <c r="H317" s="78" t="s">
        <v>159</v>
      </c>
      <c r="I317" s="77" t="s">
        <v>45</v>
      </c>
      <c r="J317" s="76">
        <f>VLOOKUP(F317,'[1]Planilha Orçamentária'!B317:J694,5,FALSE)</f>
        <v>155</v>
      </c>
      <c r="K317" s="75">
        <f>VLOOKUP(F317,'[1]Planilha Orçamentária'!B318:J694,7,FALSE)*$K$1</f>
        <v>26.609669249999996</v>
      </c>
      <c r="L317" s="74">
        <f>K317*J317</f>
        <v>4124.4987337499997</v>
      </c>
      <c r="M317" s="73">
        <f>L317/$O$8</f>
        <v>2.4645660684187889E-3</v>
      </c>
      <c r="N317" s="72">
        <f>SUM(L317:L323)</f>
        <v>45707.758988610003</v>
      </c>
      <c r="O317" s="71">
        <f>N317/$O$8</f>
        <v>2.7312359425643654E-2</v>
      </c>
      <c r="P317" s="51">
        <v>155</v>
      </c>
      <c r="Q317" s="50">
        <v>28.77</v>
      </c>
      <c r="R317" s="49">
        <v>4459.3500000000004</v>
      </c>
      <c r="S317" s="48">
        <v>5461.3659449999996</v>
      </c>
      <c r="T317" s="82">
        <v>0</v>
      </c>
      <c r="U317" s="44">
        <f>T317*K317</f>
        <v>0</v>
      </c>
      <c r="V317" s="65">
        <f>SUM(U317:U323)</f>
        <v>0</v>
      </c>
      <c r="W317" s="82">
        <f>T317</f>
        <v>0</v>
      </c>
      <c r="X317" s="44">
        <f>U317</f>
        <v>0</v>
      </c>
      <c r="Y317" s="65">
        <f>SUM(X317:X323)</f>
        <v>0</v>
      </c>
      <c r="Z317" s="127">
        <f>T317-W317</f>
        <v>0</v>
      </c>
      <c r="AA317" s="47">
        <f>L317-X317</f>
        <v>4124.4987337499997</v>
      </c>
      <c r="AB317" s="62">
        <f>SUM(AA317:AA323)</f>
        <v>45707.758988610003</v>
      </c>
    </row>
    <row r="318" spans="1:28" ht="38.25">
      <c r="A318" s="98"/>
      <c r="B318" s="98"/>
      <c r="C318" s="60"/>
      <c r="D318" s="60"/>
      <c r="E318" s="58" t="s">
        <v>158</v>
      </c>
      <c r="F318" s="58">
        <v>100384</v>
      </c>
      <c r="G318" s="58" t="s">
        <v>26</v>
      </c>
      <c r="H318" s="59" t="s">
        <v>157</v>
      </c>
      <c r="I318" s="58" t="s">
        <v>45</v>
      </c>
      <c r="J318" s="57">
        <f>VLOOKUP(F318,'[1]Planilha Orçamentária'!B318:J695,5,FALSE)</f>
        <v>155</v>
      </c>
      <c r="K318" s="56">
        <f>VLOOKUP(F318,'[1]Planilha Orçamentária'!B319:J695,7,FALSE)*$K$1</f>
        <v>30.954292500000001</v>
      </c>
      <c r="L318" s="55">
        <f>K318*J318</f>
        <v>4797.9153375000005</v>
      </c>
      <c r="M318" s="54">
        <f>L318/$O$8</f>
        <v>2.8669615638837833E-3</v>
      </c>
      <c r="N318" s="53"/>
      <c r="O318" s="52"/>
      <c r="P318" s="51">
        <v>155</v>
      </c>
      <c r="Q318" s="50">
        <v>33.479999999999997</v>
      </c>
      <c r="R318" s="49">
        <v>5189.3999999999996</v>
      </c>
      <c r="S318" s="48">
        <v>6355.4581799999987</v>
      </c>
      <c r="T318" s="82">
        <v>0</v>
      </c>
      <c r="U318" s="44">
        <f>T318*K318</f>
        <v>0</v>
      </c>
      <c r="V318" s="46"/>
      <c r="W318" s="82">
        <f>T318</f>
        <v>0</v>
      </c>
      <c r="X318" s="44">
        <f>U318</f>
        <v>0</v>
      </c>
      <c r="Y318" s="46"/>
      <c r="Z318" s="82">
        <f>T318-W318</f>
        <v>0</v>
      </c>
      <c r="AA318" s="47">
        <f>L318-X318</f>
        <v>4797.9153375000005</v>
      </c>
      <c r="AB318" s="43"/>
    </row>
    <row r="319" spans="1:28" ht="25.5">
      <c r="A319" s="98"/>
      <c r="B319" s="98"/>
      <c r="C319" s="60"/>
      <c r="D319" s="60"/>
      <c r="E319" s="58" t="s">
        <v>156</v>
      </c>
      <c r="F319" s="58">
        <v>94231</v>
      </c>
      <c r="G319" s="58" t="s">
        <v>26</v>
      </c>
      <c r="H319" s="59" t="s">
        <v>155</v>
      </c>
      <c r="I319" s="58" t="s">
        <v>88</v>
      </c>
      <c r="J319" s="57">
        <f>VLOOKUP(F319,'[1]Planilha Orçamentária'!B319:J696,5,FALSE)</f>
        <v>64</v>
      </c>
      <c r="K319" s="56">
        <f>VLOOKUP(F319,'[1]Planilha Orçamentária'!B320:J696,7,FALSE)*$K$1</f>
        <v>52.96215149999999</v>
      </c>
      <c r="L319" s="55">
        <f>K319*J319</f>
        <v>3389.5776959999994</v>
      </c>
      <c r="M319" s="54">
        <f>L319/$O$8</f>
        <v>2.0254190181882817E-3</v>
      </c>
      <c r="N319" s="53"/>
      <c r="O319" s="52"/>
      <c r="P319" s="51">
        <v>64</v>
      </c>
      <c r="Q319" s="50">
        <v>56.52</v>
      </c>
      <c r="R319" s="49">
        <v>3617.28</v>
      </c>
      <c r="S319" s="48">
        <v>4430.0828160000001</v>
      </c>
      <c r="T319" s="82">
        <v>0</v>
      </c>
      <c r="U319" s="44">
        <f>T319*K319</f>
        <v>0</v>
      </c>
      <c r="V319" s="46"/>
      <c r="W319" s="82">
        <f>T319</f>
        <v>0</v>
      </c>
      <c r="X319" s="44">
        <f>U319</f>
        <v>0</v>
      </c>
      <c r="Y319" s="46"/>
      <c r="Z319" s="82">
        <f>T319-W319</f>
        <v>0</v>
      </c>
      <c r="AA319" s="47">
        <f>L319-X319</f>
        <v>3389.5776959999994</v>
      </c>
      <c r="AB319" s="43"/>
    </row>
    <row r="320" spans="1:28" ht="38.25">
      <c r="A320" s="98"/>
      <c r="B320" s="98"/>
      <c r="C320" s="60"/>
      <c r="D320" s="60"/>
      <c r="E320" s="58" t="s">
        <v>154</v>
      </c>
      <c r="F320" s="58">
        <v>94207</v>
      </c>
      <c r="G320" s="58" t="s">
        <v>26</v>
      </c>
      <c r="H320" s="59" t="s">
        <v>153</v>
      </c>
      <c r="I320" s="58" t="s">
        <v>45</v>
      </c>
      <c r="J320" s="57">
        <f>VLOOKUP(F320,'[1]Planilha Orçamentária'!B320:J697,5,FALSE)</f>
        <v>155</v>
      </c>
      <c r="K320" s="56">
        <f>VLOOKUP(F320,'[1]Planilha Orçamentária'!B321:J697,7,FALSE)*$K$1</f>
        <v>48.801233250000003</v>
      </c>
      <c r="L320" s="55">
        <f>K320*J320</f>
        <v>7564.19115375</v>
      </c>
      <c r="M320" s="54">
        <f>L320/$O$8</f>
        <v>4.5199307978974895E-3</v>
      </c>
      <c r="N320" s="53"/>
      <c r="O320" s="52"/>
      <c r="P320" s="51">
        <v>155</v>
      </c>
      <c r="Q320" s="50">
        <v>53.32</v>
      </c>
      <c r="R320" s="49">
        <v>8264.6</v>
      </c>
      <c r="S320" s="48">
        <v>10121.65562</v>
      </c>
      <c r="T320" s="82">
        <v>0</v>
      </c>
      <c r="U320" s="44">
        <f>T320*K320</f>
        <v>0</v>
      </c>
      <c r="V320" s="46"/>
      <c r="W320" s="82">
        <f>T320</f>
        <v>0</v>
      </c>
      <c r="X320" s="44">
        <f>U320</f>
        <v>0</v>
      </c>
      <c r="Y320" s="46"/>
      <c r="Z320" s="82">
        <f>T320-W320</f>
        <v>0</v>
      </c>
      <c r="AA320" s="47">
        <f>L320-X320</f>
        <v>7564.19115375</v>
      </c>
      <c r="AB320" s="43"/>
    </row>
    <row r="321" spans="1:28" ht="25.5">
      <c r="A321" s="98"/>
      <c r="B321" s="98"/>
      <c r="C321" s="60"/>
      <c r="D321" s="60"/>
      <c r="E321" s="58" t="s">
        <v>152</v>
      </c>
      <c r="F321" s="58">
        <v>98547</v>
      </c>
      <c r="G321" s="58" t="s">
        <v>26</v>
      </c>
      <c r="H321" s="59" t="s">
        <v>151</v>
      </c>
      <c r="I321" s="58" t="s">
        <v>45</v>
      </c>
      <c r="J321" s="57">
        <f>VLOOKUP(F321,'[1]Planilha Orçamentária'!B321:J698,5,FALSE)</f>
        <v>84.62</v>
      </c>
      <c r="K321" s="56">
        <f>VLOOKUP(F321,'[1]Planilha Orçamentária'!B322:J698,7,FALSE)*$K$1</f>
        <v>221.94319574999997</v>
      </c>
      <c r="L321" s="55">
        <f>K321*J321</f>
        <v>18780.833224365</v>
      </c>
      <c r="M321" s="54">
        <f>L321/$O$8</f>
        <v>1.1222358712986772E-2</v>
      </c>
      <c r="N321" s="53"/>
      <c r="O321" s="52"/>
      <c r="P321" s="51">
        <v>84.62</v>
      </c>
      <c r="Q321" s="50">
        <v>243.06</v>
      </c>
      <c r="R321" s="49">
        <v>20567.73</v>
      </c>
      <c r="S321" s="48">
        <v>25189.298930999998</v>
      </c>
      <c r="T321" s="82">
        <v>0</v>
      </c>
      <c r="U321" s="44">
        <f>T321*K321</f>
        <v>0</v>
      </c>
      <c r="V321" s="46"/>
      <c r="W321" s="82">
        <f>T321</f>
        <v>0</v>
      </c>
      <c r="X321" s="44">
        <f>U321</f>
        <v>0</v>
      </c>
      <c r="Y321" s="46"/>
      <c r="Z321" s="82">
        <f>T321-W321</f>
        <v>0</v>
      </c>
      <c r="AA321" s="47">
        <f>L321-X321</f>
        <v>18780.833224365</v>
      </c>
      <c r="AB321" s="43"/>
    </row>
    <row r="322" spans="1:28" ht="25.5">
      <c r="A322" s="98"/>
      <c r="B322" s="98"/>
      <c r="C322" s="60"/>
      <c r="D322" s="60"/>
      <c r="E322" s="58" t="s">
        <v>150</v>
      </c>
      <c r="F322" s="58">
        <v>98567</v>
      </c>
      <c r="G322" s="58" t="s">
        <v>26</v>
      </c>
      <c r="H322" s="59" t="s">
        <v>149</v>
      </c>
      <c r="I322" s="58" t="s">
        <v>45</v>
      </c>
      <c r="J322" s="57">
        <f>VLOOKUP(F322,'[1]Planilha Orçamentária'!B322:J699,5,FALSE)</f>
        <v>68</v>
      </c>
      <c r="K322" s="56">
        <f>VLOOKUP(F322,'[1]Planilha Orçamentária'!B323:J699,7,FALSE)*$K$1</f>
        <v>76.255945499999996</v>
      </c>
      <c r="L322" s="55">
        <f>K322*J322</f>
        <v>5185.4042939999999</v>
      </c>
      <c r="M322" s="54">
        <f>L322/$O$8</f>
        <v>3.0985029452066533E-3</v>
      </c>
      <c r="N322" s="53"/>
      <c r="O322" s="52"/>
      <c r="P322" s="51">
        <v>68</v>
      </c>
      <c r="Q322" s="50">
        <v>83.48</v>
      </c>
      <c r="R322" s="49">
        <v>5676.64</v>
      </c>
      <c r="S322" s="48">
        <v>6952.1810079999996</v>
      </c>
      <c r="T322" s="82">
        <v>0</v>
      </c>
      <c r="U322" s="44">
        <f>T322*K322</f>
        <v>0</v>
      </c>
      <c r="V322" s="46"/>
      <c r="W322" s="82">
        <f>T322</f>
        <v>0</v>
      </c>
      <c r="X322" s="44">
        <f>U322</f>
        <v>0</v>
      </c>
      <c r="Y322" s="46"/>
      <c r="Z322" s="82">
        <f>T322-W322</f>
        <v>0</v>
      </c>
      <c r="AA322" s="47">
        <f>L322-X322</f>
        <v>5185.4042939999999</v>
      </c>
      <c r="AB322" s="43"/>
    </row>
    <row r="323" spans="1:28" ht="26.25" thickBot="1">
      <c r="A323" s="104"/>
      <c r="B323" s="104"/>
      <c r="C323" s="41"/>
      <c r="D323" s="41"/>
      <c r="E323" s="39" t="s">
        <v>148</v>
      </c>
      <c r="F323" s="39">
        <v>98570</v>
      </c>
      <c r="G323" s="39" t="s">
        <v>26</v>
      </c>
      <c r="H323" s="40" t="s">
        <v>147</v>
      </c>
      <c r="I323" s="39" t="s">
        <v>45</v>
      </c>
      <c r="J323" s="38">
        <f>VLOOKUP(F323,'[1]Planilha Orçamentária'!B323:J700,5,FALSE)</f>
        <v>16.62</v>
      </c>
      <c r="K323" s="37">
        <f>VLOOKUP(F323,'[1]Planilha Orçamentária'!B324:J700,7,FALSE)*$K$1</f>
        <v>112.23456974999999</v>
      </c>
      <c r="L323" s="36">
        <f>K323*J323</f>
        <v>1865.338549245</v>
      </c>
      <c r="M323" s="35">
        <f>L323/$O$8</f>
        <v>1.114620319061883E-3</v>
      </c>
      <c r="N323" s="34"/>
      <c r="O323" s="33"/>
      <c r="P323" s="51">
        <v>16.62</v>
      </c>
      <c r="Q323" s="50">
        <v>120.84</v>
      </c>
      <c r="R323" s="49">
        <v>2008.36</v>
      </c>
      <c r="S323" s="48">
        <v>2459.6384919999996</v>
      </c>
      <c r="T323" s="82">
        <v>0</v>
      </c>
      <c r="U323" s="44">
        <f>T323*K323</f>
        <v>0</v>
      </c>
      <c r="V323" s="28"/>
      <c r="W323" s="82">
        <f>T323</f>
        <v>0</v>
      </c>
      <c r="X323" s="44">
        <f>U323</f>
        <v>0</v>
      </c>
      <c r="Y323" s="28"/>
      <c r="Z323" s="27">
        <f>T323-W323</f>
        <v>0</v>
      </c>
      <c r="AA323" s="47">
        <f>L323-X323</f>
        <v>1865.338549245</v>
      </c>
      <c r="AB323" s="25"/>
    </row>
    <row r="324" spans="1:28" ht="25.5" customHeight="1">
      <c r="A324" s="101" t="s">
        <v>146</v>
      </c>
      <c r="B324" s="101">
        <v>11</v>
      </c>
      <c r="C324" s="79" t="s">
        <v>145</v>
      </c>
      <c r="D324" s="79" t="s">
        <v>144</v>
      </c>
      <c r="E324" s="77" t="s">
        <v>143</v>
      </c>
      <c r="F324" s="77">
        <v>98556</v>
      </c>
      <c r="G324" s="77" t="s">
        <v>26</v>
      </c>
      <c r="H324" s="78" t="s">
        <v>142</v>
      </c>
      <c r="I324" s="77" t="s">
        <v>45</v>
      </c>
      <c r="J324" s="76">
        <f>VLOOKUP(F324,'[1]Planilha Orçamentária'!B324:J701,5,FALSE)</f>
        <v>31.31</v>
      </c>
      <c r="K324" s="75">
        <f>VLOOKUP(F324,'[1]Planilha Orçamentária'!B325:J701,7,FALSE)*$K$1</f>
        <v>69.302711250000002</v>
      </c>
      <c r="L324" s="74">
        <f>K324*J324</f>
        <v>2169.8678892375001</v>
      </c>
      <c r="M324" s="73">
        <f>L324/$O$8</f>
        <v>1.2965897477446987E-3</v>
      </c>
      <c r="N324" s="112">
        <f>SUM(L324:L325)</f>
        <v>7661.1501934875005</v>
      </c>
      <c r="O324" s="111">
        <f>N324/$O$8</f>
        <v>4.5778680103417879E-3</v>
      </c>
      <c r="P324" s="97">
        <v>31.31</v>
      </c>
      <c r="Q324" s="50">
        <v>74.67</v>
      </c>
      <c r="R324" s="49">
        <v>2337.91</v>
      </c>
      <c r="S324" s="48">
        <v>2863.2383769999997</v>
      </c>
      <c r="T324" s="64">
        <v>0</v>
      </c>
      <c r="U324" s="66">
        <f>T324*K324</f>
        <v>0</v>
      </c>
      <c r="V324" s="65">
        <f>SUM(U324:U325)</f>
        <v>0</v>
      </c>
      <c r="W324" s="64">
        <f>T324</f>
        <v>0</v>
      </c>
      <c r="X324" s="66">
        <f>U324</f>
        <v>0</v>
      </c>
      <c r="Y324" s="65">
        <f>SUM(X324:X325)</f>
        <v>0</v>
      </c>
      <c r="Z324" s="64">
        <f>T324-W324</f>
        <v>0</v>
      </c>
      <c r="AA324" s="66">
        <f>L324-X324</f>
        <v>2169.8678892375001</v>
      </c>
      <c r="AB324" s="62">
        <f>SUM(AA324:AA325)</f>
        <v>7661.1501934875005</v>
      </c>
    </row>
    <row r="325" spans="1:28" ht="26.25" thickBot="1">
      <c r="A325" s="104"/>
      <c r="B325" s="104"/>
      <c r="C325" s="41"/>
      <c r="D325" s="41"/>
      <c r="E325" s="39" t="s">
        <v>141</v>
      </c>
      <c r="F325" s="39">
        <v>98555</v>
      </c>
      <c r="G325" s="39" t="s">
        <v>26</v>
      </c>
      <c r="H325" s="40" t="s">
        <v>140</v>
      </c>
      <c r="I325" s="39" t="s">
        <v>45</v>
      </c>
      <c r="J325" s="38">
        <f>VLOOKUP(F325,'[1]Planilha Orçamentária'!B325:J702,5,FALSE)</f>
        <v>142.75</v>
      </c>
      <c r="K325" s="37">
        <f>VLOOKUP(F325,'[1]Planilha Orçamentária'!B326:J702,7,FALSE)*$K$1</f>
        <v>38.467827</v>
      </c>
      <c r="L325" s="36">
        <f>K325*J325</f>
        <v>5491.2823042500004</v>
      </c>
      <c r="M325" s="35">
        <f>L325/$O$8</f>
        <v>3.2812782625970889E-3</v>
      </c>
      <c r="N325" s="110"/>
      <c r="O325" s="109"/>
      <c r="P325" s="97">
        <v>142.75</v>
      </c>
      <c r="Q325" s="50">
        <v>41.25</v>
      </c>
      <c r="R325" s="49">
        <v>5888.43</v>
      </c>
      <c r="S325" s="48">
        <v>7211.5602209999997</v>
      </c>
      <c r="T325" s="27">
        <v>0</v>
      </c>
      <c r="U325" s="26">
        <f>T325*K325</f>
        <v>0</v>
      </c>
      <c r="V325" s="28"/>
      <c r="W325" s="27">
        <f>T325</f>
        <v>0</v>
      </c>
      <c r="X325" s="26">
        <f>U325</f>
        <v>0</v>
      </c>
      <c r="Y325" s="28"/>
      <c r="Z325" s="27">
        <f>T325-W325</f>
        <v>0</v>
      </c>
      <c r="AA325" s="26">
        <f>L325-X325</f>
        <v>5491.2823042500004</v>
      </c>
      <c r="AB325" s="25"/>
    </row>
    <row r="326" spans="1:28">
      <c r="A326" s="101" t="s">
        <v>139</v>
      </c>
      <c r="B326" s="101">
        <v>10</v>
      </c>
      <c r="C326" s="126" t="s">
        <v>138</v>
      </c>
      <c r="D326" s="79" t="s">
        <v>137</v>
      </c>
      <c r="E326" s="77" t="s">
        <v>136</v>
      </c>
      <c r="F326" s="77">
        <v>100717</v>
      </c>
      <c r="G326" s="77" t="s">
        <v>26</v>
      </c>
      <c r="H326" s="78" t="s">
        <v>135</v>
      </c>
      <c r="I326" s="77" t="s">
        <v>45</v>
      </c>
      <c r="J326" s="76">
        <f>VLOOKUP(F326,'[1]Planilha Orçamentária'!B326:J703,5,FALSE)</f>
        <v>34.96</v>
      </c>
      <c r="K326" s="75">
        <f>VLOOKUP(F326,'[1]Planilha Orçamentária'!B327:J703,7,FALSE)*$K$1</f>
        <v>12.170456249999999</v>
      </c>
      <c r="L326" s="74">
        <f>K326*J326</f>
        <v>425.4791505</v>
      </c>
      <c r="M326" s="73">
        <f>L326/$O$8</f>
        <v>2.542421624623808E-4</v>
      </c>
      <c r="N326" s="72">
        <f>SUM(L326:L328)</f>
        <v>3056.0642077799998</v>
      </c>
      <c r="O326" s="71">
        <f>N326/$O$8</f>
        <v>1.8261303095505493E-3</v>
      </c>
      <c r="P326" s="51">
        <v>34.96</v>
      </c>
      <c r="Q326" s="50">
        <v>12.99</v>
      </c>
      <c r="R326" s="49">
        <v>454.13</v>
      </c>
      <c r="S326" s="48">
        <v>556.17301099999997</v>
      </c>
      <c r="T326" s="64">
        <v>0</v>
      </c>
      <c r="U326" s="66">
        <f>T326*K326</f>
        <v>0</v>
      </c>
      <c r="V326" s="125">
        <f>U326+U327+U328</f>
        <v>0</v>
      </c>
      <c r="W326" s="64">
        <f>T326</f>
        <v>0</v>
      </c>
      <c r="X326" s="66">
        <f>U326</f>
        <v>0</v>
      </c>
      <c r="Y326" s="125">
        <f>X326+X327+X328</f>
        <v>0</v>
      </c>
      <c r="Z326" s="64">
        <f>T326-W326</f>
        <v>0</v>
      </c>
      <c r="AA326" s="66">
        <f>L326-X326</f>
        <v>425.4791505</v>
      </c>
      <c r="AB326" s="125">
        <f>AA326+AA327+AA328</f>
        <v>3056.0642077799998</v>
      </c>
    </row>
    <row r="327" spans="1:28" ht="25.5">
      <c r="A327" s="98"/>
      <c r="B327" s="98"/>
      <c r="C327" s="124"/>
      <c r="D327" s="60"/>
      <c r="E327" s="58" t="s">
        <v>134</v>
      </c>
      <c r="F327" s="58">
        <v>100720</v>
      </c>
      <c r="G327" s="58" t="s">
        <v>26</v>
      </c>
      <c r="H327" s="59" t="s">
        <v>133</v>
      </c>
      <c r="I327" s="58" t="s">
        <v>45</v>
      </c>
      <c r="J327" s="57">
        <f>VLOOKUP(F327,'[1]Planilha Orçamentária'!B327:J704,5,FALSE)</f>
        <v>34.96</v>
      </c>
      <c r="K327" s="56">
        <f>VLOOKUP(F327,'[1]Planilha Orçamentária'!B328:J704,7,FALSE)*$K$1</f>
        <v>13.667651999999999</v>
      </c>
      <c r="L327" s="55">
        <f>K327*J327</f>
        <v>477.82111391999996</v>
      </c>
      <c r="M327" s="54">
        <f>L327/$O$8</f>
        <v>2.8551874546718685E-4</v>
      </c>
      <c r="N327" s="53"/>
      <c r="O327" s="52"/>
      <c r="P327" s="51">
        <v>34.96</v>
      </c>
      <c r="Q327" s="50">
        <v>14.11</v>
      </c>
      <c r="R327" s="49">
        <v>493.28</v>
      </c>
      <c r="S327" s="48">
        <v>604.12001599999996</v>
      </c>
      <c r="T327" s="45">
        <v>0</v>
      </c>
      <c r="U327" s="47">
        <f>T327*K327</f>
        <v>0</v>
      </c>
      <c r="V327" s="123"/>
      <c r="W327" s="45">
        <f>T327</f>
        <v>0</v>
      </c>
      <c r="X327" s="47">
        <f>U327</f>
        <v>0</v>
      </c>
      <c r="Y327" s="123"/>
      <c r="Z327" s="45">
        <f>T327-W327</f>
        <v>0</v>
      </c>
      <c r="AA327" s="47">
        <f>L327-X327</f>
        <v>477.82111391999996</v>
      </c>
      <c r="AB327" s="123"/>
    </row>
    <row r="328" spans="1:28" ht="26.25" thickBot="1">
      <c r="A328" s="104"/>
      <c r="B328" s="104"/>
      <c r="C328" s="122"/>
      <c r="D328" s="41"/>
      <c r="E328" s="39" t="s">
        <v>132</v>
      </c>
      <c r="F328" s="39">
        <v>100759</v>
      </c>
      <c r="G328" s="39" t="s">
        <v>26</v>
      </c>
      <c r="H328" s="40" t="s">
        <v>131</v>
      </c>
      <c r="I328" s="39" t="s">
        <v>45</v>
      </c>
      <c r="J328" s="38">
        <f>VLOOKUP(F328,'[1]Planilha Orçamentária'!B328:J705,5,FALSE)</f>
        <v>34.96</v>
      </c>
      <c r="K328" s="37">
        <f>VLOOKUP(F328,'[1]Planilha Orçamentária'!B329:J705,7,FALSE)*$K$1</f>
        <v>61.577915999999995</v>
      </c>
      <c r="L328" s="36">
        <f>K328*J328</f>
        <v>2152.7639433599998</v>
      </c>
      <c r="M328" s="35">
        <f>L328/$O$8</f>
        <v>1.2863694016209816E-3</v>
      </c>
      <c r="N328" s="34"/>
      <c r="O328" s="33"/>
      <c r="P328" s="51">
        <v>34.96</v>
      </c>
      <c r="Q328" s="50">
        <v>63.98</v>
      </c>
      <c r="R328" s="49">
        <v>2236.7399999999998</v>
      </c>
      <c r="S328" s="48">
        <v>2739.3354779999995</v>
      </c>
      <c r="T328" s="27">
        <v>0</v>
      </c>
      <c r="U328" s="26">
        <f>T328*K328</f>
        <v>0</v>
      </c>
      <c r="V328" s="121"/>
      <c r="W328" s="27">
        <f>T328</f>
        <v>0</v>
      </c>
      <c r="X328" s="26">
        <f>U328</f>
        <v>0</v>
      </c>
      <c r="Y328" s="121"/>
      <c r="Z328" s="27">
        <f>T328-W328</f>
        <v>0</v>
      </c>
      <c r="AA328" s="26">
        <f>L328-X328</f>
        <v>2152.7639433599998</v>
      </c>
      <c r="AB328" s="121"/>
    </row>
    <row r="329" spans="1:28" ht="25.5">
      <c r="A329" s="101" t="s">
        <v>130</v>
      </c>
      <c r="B329" s="101">
        <v>9</v>
      </c>
      <c r="C329" s="79" t="s">
        <v>129</v>
      </c>
      <c r="D329" s="79" t="s">
        <v>128</v>
      </c>
      <c r="E329" s="77" t="s">
        <v>127</v>
      </c>
      <c r="F329" s="77">
        <v>88497</v>
      </c>
      <c r="G329" s="77" t="s">
        <v>26</v>
      </c>
      <c r="H329" s="78" t="s">
        <v>126</v>
      </c>
      <c r="I329" s="77" t="s">
        <v>45</v>
      </c>
      <c r="J329" s="76">
        <f>VLOOKUP(F329,'[1]Planilha Orçamentária'!B329:J706,5,FALSE)</f>
        <v>565.23</v>
      </c>
      <c r="K329" s="75">
        <f>VLOOKUP(F329,'[1]Planilha Orçamentária'!B330:J706,7,FALSE)*$K$1</f>
        <v>21.484299749999998</v>
      </c>
      <c r="L329" s="74">
        <f>K329*J329</f>
        <v>12143.5707476925</v>
      </c>
      <c r="M329" s="73">
        <f>L329/$O$8</f>
        <v>7.2563078197371072E-3</v>
      </c>
      <c r="N329" s="72">
        <f>SUM(L329:L332)</f>
        <v>32537.498379884997</v>
      </c>
      <c r="O329" s="71">
        <f>N329/$O$8</f>
        <v>1.9442560086662043E-2</v>
      </c>
      <c r="P329" s="51">
        <v>565.23</v>
      </c>
      <c r="Q329" s="50">
        <v>23.47</v>
      </c>
      <c r="R329" s="49">
        <v>13265.94</v>
      </c>
      <c r="S329" s="48">
        <v>16246.796718</v>
      </c>
      <c r="T329" s="45">
        <v>0</v>
      </c>
      <c r="U329" s="47">
        <f>T329*K329</f>
        <v>0</v>
      </c>
      <c r="V329" s="65">
        <f>SUM(U329:U332)</f>
        <v>0</v>
      </c>
      <c r="W329" s="45">
        <f>T329</f>
        <v>0</v>
      </c>
      <c r="X329" s="47">
        <f>U329</f>
        <v>0</v>
      </c>
      <c r="Y329" s="65">
        <f>SUM(X329:X332)</f>
        <v>0</v>
      </c>
      <c r="Z329" s="64">
        <f>T329-W329</f>
        <v>0</v>
      </c>
      <c r="AA329" s="47">
        <f>L329-X329</f>
        <v>12143.5707476925</v>
      </c>
      <c r="AB329" s="62">
        <f>SUM(AA329:AA332)</f>
        <v>32537.498379884997</v>
      </c>
    </row>
    <row r="330" spans="1:28">
      <c r="A330" s="98"/>
      <c r="B330" s="98"/>
      <c r="C330" s="60"/>
      <c r="D330" s="60"/>
      <c r="E330" s="58" t="s">
        <v>125</v>
      </c>
      <c r="F330" s="58">
        <v>88485</v>
      </c>
      <c r="G330" s="58" t="s">
        <v>26</v>
      </c>
      <c r="H330" s="59" t="s">
        <v>124</v>
      </c>
      <c r="I330" s="58" t="s">
        <v>45</v>
      </c>
      <c r="J330" s="57">
        <f>VLOOKUP(F330,'[1]Planilha Orçamentária'!B330:J707,5,FALSE)</f>
        <v>841.23</v>
      </c>
      <c r="K330" s="56">
        <f>VLOOKUP(F330,'[1]Planilha Orçamentária'!B331:J707,7,FALSE)*$K$1</f>
        <v>5.1804809999999994</v>
      </c>
      <c r="L330" s="55">
        <f>K330*J330</f>
        <v>4357.9760316299999</v>
      </c>
      <c r="M330" s="54">
        <f>L330/$O$8</f>
        <v>2.6040788342714242E-3</v>
      </c>
      <c r="N330" s="53"/>
      <c r="O330" s="52"/>
      <c r="P330" s="51">
        <v>841.23</v>
      </c>
      <c r="Q330" s="50">
        <v>5.45</v>
      </c>
      <c r="R330" s="49">
        <v>4584.7</v>
      </c>
      <c r="S330" s="48">
        <v>5614.8820899999992</v>
      </c>
      <c r="T330" s="45">
        <v>0</v>
      </c>
      <c r="U330" s="47">
        <f>T330*K330</f>
        <v>0</v>
      </c>
      <c r="V330" s="46"/>
      <c r="W330" s="45">
        <f>T330</f>
        <v>0</v>
      </c>
      <c r="X330" s="47">
        <f>U330</f>
        <v>0</v>
      </c>
      <c r="Y330" s="46"/>
      <c r="Z330" s="45">
        <f>T330-W330</f>
        <v>0</v>
      </c>
      <c r="AA330" s="47">
        <f>L330-X330</f>
        <v>4357.9760316299999</v>
      </c>
      <c r="AB330" s="43"/>
    </row>
    <row r="331" spans="1:28">
      <c r="A331" s="98"/>
      <c r="B331" s="98"/>
      <c r="C331" s="60"/>
      <c r="D331" s="60"/>
      <c r="E331" s="58" t="s">
        <v>123</v>
      </c>
      <c r="F331" s="58">
        <v>88489</v>
      </c>
      <c r="G331" s="58" t="s">
        <v>26</v>
      </c>
      <c r="H331" s="59" t="s">
        <v>122</v>
      </c>
      <c r="I331" s="58" t="s">
        <v>45</v>
      </c>
      <c r="J331" s="57">
        <f>VLOOKUP(F331,'[1]Planilha Orçamentária'!B331:J708,5,FALSE)</f>
        <v>565.23</v>
      </c>
      <c r="K331" s="56">
        <f>VLOOKUP(F331,'[1]Planilha Orçamentária'!B332:J708,7,FALSE)*$K$1</f>
        <v>14.466768749999998</v>
      </c>
      <c r="L331" s="55">
        <f>K331*J331</f>
        <v>8177.0517005624988</v>
      </c>
      <c r="M331" s="54">
        <f>L331/$O$8</f>
        <v>4.8861414348379401E-3</v>
      </c>
      <c r="N331" s="53"/>
      <c r="O331" s="52"/>
      <c r="P331" s="51">
        <v>565.23</v>
      </c>
      <c r="Q331" s="50">
        <v>15.11</v>
      </c>
      <c r="R331" s="49">
        <v>8540.6200000000008</v>
      </c>
      <c r="S331" s="48">
        <v>10459.697314000001</v>
      </c>
      <c r="T331" s="45">
        <v>0</v>
      </c>
      <c r="U331" s="47">
        <f>T331*K331</f>
        <v>0</v>
      </c>
      <c r="V331" s="46"/>
      <c r="W331" s="45">
        <f>T331</f>
        <v>0</v>
      </c>
      <c r="X331" s="47">
        <f>U331</f>
        <v>0</v>
      </c>
      <c r="Y331" s="46"/>
      <c r="Z331" s="45">
        <f>T331-W331</f>
        <v>0</v>
      </c>
      <c r="AA331" s="47">
        <f>L331-X331</f>
        <v>8177.0517005624988</v>
      </c>
      <c r="AB331" s="43"/>
    </row>
    <row r="332" spans="1:28" ht="26.25" thickBot="1">
      <c r="A332" s="104"/>
      <c r="B332" s="104"/>
      <c r="C332" s="41"/>
      <c r="D332" s="41"/>
      <c r="E332" s="39" t="s">
        <v>121</v>
      </c>
      <c r="F332" s="39" t="s">
        <v>120</v>
      </c>
      <c r="G332" s="39" t="s">
        <v>52</v>
      </c>
      <c r="H332" s="40" t="s">
        <v>119</v>
      </c>
      <c r="I332" s="39" t="s">
        <v>45</v>
      </c>
      <c r="J332" s="38">
        <f>VLOOKUP(F332,'[1]Planilha Orçamentária'!B332:J709,5,FALSE)</f>
        <v>276</v>
      </c>
      <c r="K332" s="37">
        <f>VLOOKUP(F332,'[1]Planilha Orçamentária'!B333:J709,7,FALSE)*$K$1</f>
        <v>28.474274999999999</v>
      </c>
      <c r="L332" s="36">
        <f>K332*J332</f>
        <v>7858.8998999999994</v>
      </c>
      <c r="M332" s="35">
        <f>L332/$O$8</f>
        <v>4.696031997815573E-3</v>
      </c>
      <c r="N332" s="34"/>
      <c r="O332" s="33"/>
      <c r="P332" s="51">
        <v>276</v>
      </c>
      <c r="Q332" s="50">
        <v>29.53</v>
      </c>
      <c r="R332" s="49">
        <v>8150.28</v>
      </c>
      <c r="S332" s="48">
        <v>9981.6479159999981</v>
      </c>
      <c r="T332" s="45">
        <v>0</v>
      </c>
      <c r="U332" s="47">
        <f>T332*K332</f>
        <v>0</v>
      </c>
      <c r="V332" s="28"/>
      <c r="W332" s="45">
        <f>T332</f>
        <v>0</v>
      </c>
      <c r="X332" s="47">
        <f>U332</f>
        <v>0</v>
      </c>
      <c r="Y332" s="28"/>
      <c r="Z332" s="27">
        <f>T332-W332</f>
        <v>0</v>
      </c>
      <c r="AA332" s="47">
        <f>L332-X332</f>
        <v>7858.8998999999994</v>
      </c>
      <c r="AB332" s="25"/>
    </row>
    <row r="333" spans="1:28" ht="12.75" customHeight="1">
      <c r="A333" s="120" t="s">
        <v>118</v>
      </c>
      <c r="B333" s="120">
        <v>11</v>
      </c>
      <c r="C333" s="119" t="s">
        <v>117</v>
      </c>
      <c r="D333" s="119" t="s">
        <v>116</v>
      </c>
      <c r="E333" s="117" t="s">
        <v>115</v>
      </c>
      <c r="F333" s="117">
        <v>102507</v>
      </c>
      <c r="G333" s="117" t="s">
        <v>26</v>
      </c>
      <c r="H333" s="118" t="s">
        <v>114</v>
      </c>
      <c r="I333" s="117" t="s">
        <v>88</v>
      </c>
      <c r="J333" s="116">
        <f>VLOOKUP(F333,'[1]Planilha Orçamentária'!B333:J710,5,FALSE)</f>
        <v>30</v>
      </c>
      <c r="K333" s="115">
        <f>VLOOKUP(F333,'[1]Planilha Orçamentária'!B334:J710,7,FALSE)*$K$1</f>
        <v>7.9636117499999983</v>
      </c>
      <c r="L333" s="114">
        <f>K333*J333</f>
        <v>238.90835249999995</v>
      </c>
      <c r="M333" s="113">
        <f>L333/$O$8</f>
        <v>1.4275805547356597E-4</v>
      </c>
      <c r="N333" s="112">
        <f>SUM(L333:L334)</f>
        <v>367.33100684999994</v>
      </c>
      <c r="O333" s="111">
        <f>N333/$O$8</f>
        <v>2.1949613608864154E-4</v>
      </c>
      <c r="P333" s="97">
        <v>30</v>
      </c>
      <c r="Q333" s="50">
        <v>8.15</v>
      </c>
      <c r="R333" s="49">
        <v>244.5</v>
      </c>
      <c r="S333" s="48">
        <v>299.43914999999998</v>
      </c>
      <c r="T333" s="64">
        <v>0</v>
      </c>
      <c r="U333" s="66">
        <f>T333*K333</f>
        <v>0</v>
      </c>
      <c r="V333" s="65">
        <f>SUM(U333:U334)</f>
        <v>0</v>
      </c>
      <c r="W333" s="64">
        <f>T333</f>
        <v>0</v>
      </c>
      <c r="X333" s="66">
        <f>U333</f>
        <v>0</v>
      </c>
      <c r="Y333" s="65">
        <f>SUM(X333:X334)</f>
        <v>0</v>
      </c>
      <c r="Z333" s="64">
        <f>T333-W333</f>
        <v>0</v>
      </c>
      <c r="AA333" s="66">
        <f>L333-X333</f>
        <v>238.90835249999995</v>
      </c>
      <c r="AB333" s="62">
        <f>SUM(AA333:AA334)</f>
        <v>367.33100684999994</v>
      </c>
    </row>
    <row r="334" spans="1:28" ht="26.25" thickBot="1">
      <c r="A334" s="96"/>
      <c r="B334" s="96"/>
      <c r="C334" s="95"/>
      <c r="D334" s="95"/>
      <c r="E334" s="92" t="s">
        <v>113</v>
      </c>
      <c r="F334" s="92">
        <v>102491</v>
      </c>
      <c r="G334" s="92" t="s">
        <v>26</v>
      </c>
      <c r="H334" s="93" t="s">
        <v>112</v>
      </c>
      <c r="I334" s="92" t="s">
        <v>45</v>
      </c>
      <c r="J334" s="91">
        <f>VLOOKUP(F334,'[1]Planilha Orçamentária'!B334:J711,5,FALSE)</f>
        <v>5.3</v>
      </c>
      <c r="K334" s="90">
        <f>VLOOKUP(F334,'[1]Planilha Orçamentária'!B335:J711,7,FALSE)*$K$1</f>
        <v>24.230689499999997</v>
      </c>
      <c r="L334" s="89">
        <f>K334*J334</f>
        <v>128.42265434999999</v>
      </c>
      <c r="M334" s="88">
        <f>L334/$O$8</f>
        <v>7.6738080615075565E-5</v>
      </c>
      <c r="N334" s="110"/>
      <c r="O334" s="109"/>
      <c r="P334" s="97">
        <v>5.3</v>
      </c>
      <c r="Q334" s="50">
        <v>25.33</v>
      </c>
      <c r="R334" s="49">
        <v>134.24</v>
      </c>
      <c r="S334" s="48">
        <v>164.403728</v>
      </c>
      <c r="T334" s="27">
        <v>0</v>
      </c>
      <c r="U334" s="26">
        <f>T334*K334</f>
        <v>0</v>
      </c>
      <c r="V334" s="28"/>
      <c r="W334" s="27">
        <f>T334</f>
        <v>0</v>
      </c>
      <c r="X334" s="26">
        <f>U334</f>
        <v>0</v>
      </c>
      <c r="Y334" s="28"/>
      <c r="Z334" s="27">
        <f>T334-W334</f>
        <v>0</v>
      </c>
      <c r="AA334" s="26">
        <f>L334-X334</f>
        <v>128.42265434999999</v>
      </c>
      <c r="AB334" s="25"/>
    </row>
    <row r="335" spans="1:28" ht="38.25">
      <c r="A335" s="80" t="s">
        <v>111</v>
      </c>
      <c r="B335" s="80">
        <v>10</v>
      </c>
      <c r="C335" s="79" t="s">
        <v>110</v>
      </c>
      <c r="D335" s="79" t="s">
        <v>109</v>
      </c>
      <c r="E335" s="77" t="s">
        <v>108</v>
      </c>
      <c r="F335" s="77">
        <v>86941</v>
      </c>
      <c r="G335" s="77" t="s">
        <v>26</v>
      </c>
      <c r="H335" s="78" t="s">
        <v>107</v>
      </c>
      <c r="I335" s="77" t="s">
        <v>24</v>
      </c>
      <c r="J335" s="76">
        <f>VLOOKUP(F335,'[1]Planilha Orçamentária'!B335:J712,5,FALSE)</f>
        <v>3</v>
      </c>
      <c r="K335" s="75">
        <f>VLOOKUP(F335,'[1]Planilha Orçamentária'!B336:J712,7,FALSE)*$K$1</f>
        <v>831.58660874999998</v>
      </c>
      <c r="L335" s="74">
        <f>K335*J335</f>
        <v>2494.7598262500001</v>
      </c>
      <c r="M335" s="73">
        <f>L335/$O$8</f>
        <v>1.4907267073009571E-3</v>
      </c>
      <c r="N335" s="72">
        <f>SUM(L335:L340)</f>
        <v>11218.653089250001</v>
      </c>
      <c r="O335" s="71">
        <f>N335/$O$8</f>
        <v>6.703629585549313E-3</v>
      </c>
      <c r="P335" s="51">
        <v>3</v>
      </c>
      <c r="Q335" s="50">
        <v>903.78</v>
      </c>
      <c r="R335" s="49">
        <v>2711.34</v>
      </c>
      <c r="S335" s="48">
        <v>3320.578098</v>
      </c>
      <c r="T335" s="64">
        <v>0</v>
      </c>
      <c r="U335" s="66">
        <f>T335*K335</f>
        <v>0</v>
      </c>
      <c r="V335" s="65">
        <f>SUM(U335:U340)</f>
        <v>0</v>
      </c>
      <c r="W335" s="64">
        <f>T335</f>
        <v>0</v>
      </c>
      <c r="X335" s="66">
        <f>U335</f>
        <v>0</v>
      </c>
      <c r="Y335" s="65">
        <f>SUM(X335:X340)</f>
        <v>0</v>
      </c>
      <c r="Z335" s="64">
        <f>T335-W335</f>
        <v>0</v>
      </c>
      <c r="AA335" s="66">
        <f>L335-X335</f>
        <v>2494.7598262500001</v>
      </c>
      <c r="AB335" s="62">
        <f>SUM(AA335:AA340)</f>
        <v>11218.653089250001</v>
      </c>
    </row>
    <row r="336" spans="1:28" ht="63.75">
      <c r="A336" s="61"/>
      <c r="B336" s="61"/>
      <c r="C336" s="60"/>
      <c r="D336" s="60"/>
      <c r="E336" s="58" t="s">
        <v>106</v>
      </c>
      <c r="F336" s="58" t="s">
        <v>105</v>
      </c>
      <c r="G336" s="58" t="s">
        <v>52</v>
      </c>
      <c r="H336" s="59" t="s">
        <v>104</v>
      </c>
      <c r="I336" s="58" t="s">
        <v>24</v>
      </c>
      <c r="J336" s="57">
        <f>VLOOKUP(F336,'[1]Planilha Orçamentária'!B336:J713,5,FALSE)</f>
        <v>2</v>
      </c>
      <c r="K336" s="56">
        <f>VLOOKUP(F336,'[1]Planilha Orçamentária'!B337:J713,7,FALSE)*$K$1</f>
        <v>1102.1289622499999</v>
      </c>
      <c r="L336" s="55">
        <f>K336*J336</f>
        <v>2204.2579244999997</v>
      </c>
      <c r="M336" s="54">
        <f>L336/$O$8</f>
        <v>1.3171392786019E-3</v>
      </c>
      <c r="N336" s="53"/>
      <c r="O336" s="52"/>
      <c r="P336" s="51">
        <v>2</v>
      </c>
      <c r="Q336" s="50">
        <v>1334.19</v>
      </c>
      <c r="R336" s="49">
        <v>2668.38</v>
      </c>
      <c r="S336" s="48">
        <v>3267.964986</v>
      </c>
      <c r="T336" s="45">
        <v>0</v>
      </c>
      <c r="U336" s="47">
        <f>T336*K336</f>
        <v>0</v>
      </c>
      <c r="V336" s="108"/>
      <c r="W336" s="45">
        <f>T336</f>
        <v>0</v>
      </c>
      <c r="X336" s="47">
        <f>U336</f>
        <v>0</v>
      </c>
      <c r="Y336" s="108"/>
      <c r="Z336" s="45">
        <f>T336-W336</f>
        <v>0</v>
      </c>
      <c r="AA336" s="47">
        <f>L336-X336</f>
        <v>2204.2579244999997</v>
      </c>
      <c r="AB336" s="107"/>
    </row>
    <row r="337" spans="1:28" ht="38.25">
      <c r="A337" s="61"/>
      <c r="B337" s="61"/>
      <c r="C337" s="60"/>
      <c r="D337" s="60"/>
      <c r="E337" s="58" t="s">
        <v>103</v>
      </c>
      <c r="F337" s="58">
        <v>86922</v>
      </c>
      <c r="G337" s="58" t="s">
        <v>26</v>
      </c>
      <c r="H337" s="59" t="s">
        <v>102</v>
      </c>
      <c r="I337" s="58" t="s">
        <v>24</v>
      </c>
      <c r="J337" s="57">
        <f>VLOOKUP(F337,'[1]Planilha Orçamentária'!B337:J714,5,FALSE)</f>
        <v>1</v>
      </c>
      <c r="K337" s="56">
        <f>VLOOKUP(F337,'[1]Planilha Orçamentária'!B338:J714,7,FALSE)*$K$1</f>
        <v>867.25293449999992</v>
      </c>
      <c r="L337" s="55">
        <f>K337*J337</f>
        <v>867.25293449999992</v>
      </c>
      <c r="M337" s="54">
        <f>L337/$O$8</f>
        <v>5.1822107196090557E-4</v>
      </c>
      <c r="N337" s="53"/>
      <c r="O337" s="52"/>
      <c r="P337" s="51">
        <v>1</v>
      </c>
      <c r="Q337" s="50">
        <v>971.79</v>
      </c>
      <c r="R337" s="49">
        <v>971.79</v>
      </c>
      <c r="S337" s="48">
        <v>1190.1512129999999</v>
      </c>
      <c r="T337" s="45">
        <v>0</v>
      </c>
      <c r="U337" s="47">
        <f>T337*K337</f>
        <v>0</v>
      </c>
      <c r="V337" s="108"/>
      <c r="W337" s="45">
        <f>T337</f>
        <v>0</v>
      </c>
      <c r="X337" s="47">
        <f>U337</f>
        <v>0</v>
      </c>
      <c r="Y337" s="108"/>
      <c r="Z337" s="45">
        <f>T337-W337</f>
        <v>0</v>
      </c>
      <c r="AA337" s="47">
        <f>L337-X337</f>
        <v>867.25293449999992</v>
      </c>
      <c r="AB337" s="107"/>
    </row>
    <row r="338" spans="1:28" ht="25.5">
      <c r="A338" s="61"/>
      <c r="B338" s="61"/>
      <c r="C338" s="60"/>
      <c r="D338" s="60"/>
      <c r="E338" s="58" t="s">
        <v>101</v>
      </c>
      <c r="F338" s="58">
        <v>86932</v>
      </c>
      <c r="G338" s="58" t="s">
        <v>26</v>
      </c>
      <c r="H338" s="59" t="s">
        <v>100</v>
      </c>
      <c r="I338" s="58" t="s">
        <v>24</v>
      </c>
      <c r="J338" s="57">
        <f>VLOOKUP(F338,'[1]Planilha Orçamentária'!B338:J715,5,FALSE)</f>
        <v>6</v>
      </c>
      <c r="K338" s="56">
        <f>VLOOKUP(F338,'[1]Planilha Orçamentária'!B339:J715,7,FALSE)*$K$1</f>
        <v>548.19409050000002</v>
      </c>
      <c r="L338" s="55">
        <f>K338*J338</f>
        <v>3289.1645429999999</v>
      </c>
      <c r="M338" s="54">
        <f>L338/$O$8</f>
        <v>1.9654178239384926E-3</v>
      </c>
      <c r="N338" s="53"/>
      <c r="O338" s="52"/>
      <c r="P338" s="51">
        <v>6</v>
      </c>
      <c r="Q338" s="50">
        <v>636.38</v>
      </c>
      <c r="R338" s="49">
        <v>3818.28</v>
      </c>
      <c r="S338" s="48">
        <v>4676.2475159999995</v>
      </c>
      <c r="T338" s="45">
        <v>0</v>
      </c>
      <c r="U338" s="47">
        <f>T338*K338</f>
        <v>0</v>
      </c>
      <c r="V338" s="108"/>
      <c r="W338" s="45">
        <f>T338</f>
        <v>0</v>
      </c>
      <c r="X338" s="47">
        <f>U338</f>
        <v>0</v>
      </c>
      <c r="Y338" s="108"/>
      <c r="Z338" s="45">
        <f>T338-W338</f>
        <v>0</v>
      </c>
      <c r="AA338" s="47">
        <f>L338-X338</f>
        <v>3289.1645429999999</v>
      </c>
      <c r="AB338" s="107"/>
    </row>
    <row r="339" spans="1:28" ht="32.450000000000003" customHeight="1">
      <c r="A339" s="61"/>
      <c r="B339" s="61"/>
      <c r="C339" s="60"/>
      <c r="D339" s="60"/>
      <c r="E339" s="58" t="s">
        <v>99</v>
      </c>
      <c r="F339" s="58">
        <v>100849</v>
      </c>
      <c r="G339" s="58" t="s">
        <v>26</v>
      </c>
      <c r="H339" s="59" t="s">
        <v>98</v>
      </c>
      <c r="I339" s="58" t="s">
        <v>24</v>
      </c>
      <c r="J339" s="57">
        <f>VLOOKUP(F339,'[1]Planilha Orçamentária'!B339:J716,5,FALSE)</f>
        <v>8</v>
      </c>
      <c r="K339" s="56">
        <f>VLOOKUP(F339,'[1]Planilha Orçamentária'!B340:J716,7,FALSE)*$K$1</f>
        <v>42.647115749999998</v>
      </c>
      <c r="L339" s="55">
        <f>K339*J339</f>
        <v>341.17692599999998</v>
      </c>
      <c r="M339" s="54">
        <f>L339/$O$8</f>
        <v>2.038679435797822E-4</v>
      </c>
      <c r="N339" s="53"/>
      <c r="O339" s="52"/>
      <c r="P339" s="51">
        <v>8</v>
      </c>
      <c r="Q339" s="50">
        <v>45.2</v>
      </c>
      <c r="R339" s="49">
        <v>361.6</v>
      </c>
      <c r="S339" s="48">
        <v>442.85151999999999</v>
      </c>
      <c r="T339" s="45">
        <v>0</v>
      </c>
      <c r="U339" s="47">
        <f>T339*K339</f>
        <v>0</v>
      </c>
      <c r="V339" s="108"/>
      <c r="W339" s="45">
        <f>T339</f>
        <v>0</v>
      </c>
      <c r="X339" s="47">
        <f>U339</f>
        <v>0</v>
      </c>
      <c r="Y339" s="108"/>
      <c r="Z339" s="45">
        <f>T339-W339</f>
        <v>0</v>
      </c>
      <c r="AA339" s="47">
        <f>L339-X339</f>
        <v>341.17692599999998</v>
      </c>
      <c r="AB339" s="107"/>
    </row>
    <row r="340" spans="1:28" ht="39" thickBot="1">
      <c r="A340" s="42"/>
      <c r="B340" s="42"/>
      <c r="C340" s="41"/>
      <c r="D340" s="41"/>
      <c r="E340" s="39" t="s">
        <v>97</v>
      </c>
      <c r="F340" s="39" t="s">
        <v>96</v>
      </c>
      <c r="G340" s="39" t="s">
        <v>52</v>
      </c>
      <c r="H340" s="40" t="s">
        <v>95</v>
      </c>
      <c r="I340" s="39" t="s">
        <v>24</v>
      </c>
      <c r="J340" s="38">
        <f>VLOOKUP(F340,'[1]Planilha Orçamentária'!B340:J717,5,FALSE)</f>
        <v>2</v>
      </c>
      <c r="K340" s="37">
        <f>VLOOKUP(F340,'[1]Planilha Orçamentária'!B341:J717,7,FALSE)*$K$1</f>
        <v>1011.0204675</v>
      </c>
      <c r="L340" s="36">
        <f>K340*J340</f>
        <v>2022.040935</v>
      </c>
      <c r="M340" s="35">
        <f>L340/$O$8</f>
        <v>1.2082567601672748E-3</v>
      </c>
      <c r="N340" s="34"/>
      <c r="O340" s="33"/>
      <c r="P340" s="51">
        <v>2</v>
      </c>
      <c r="Q340" s="50">
        <v>907.66999999999985</v>
      </c>
      <c r="R340" s="49">
        <v>1815.34</v>
      </c>
      <c r="S340" s="48">
        <v>2223.2468979999999</v>
      </c>
      <c r="T340" s="27">
        <v>0</v>
      </c>
      <c r="U340" s="26">
        <f>T340*K340</f>
        <v>0</v>
      </c>
      <c r="V340" s="106"/>
      <c r="W340" s="27">
        <f>T340</f>
        <v>0</v>
      </c>
      <c r="X340" s="26">
        <f>U340</f>
        <v>0</v>
      </c>
      <c r="Y340" s="106"/>
      <c r="Z340" s="27">
        <f>T340-W340</f>
        <v>0</v>
      </c>
      <c r="AA340" s="26">
        <f>L340-X340</f>
        <v>2022.040935</v>
      </c>
      <c r="AB340" s="105"/>
    </row>
    <row r="341" spans="1:28" ht="33" customHeight="1">
      <c r="A341" s="101" t="s">
        <v>94</v>
      </c>
      <c r="B341" s="101">
        <v>11</v>
      </c>
      <c r="C341" s="79" t="s">
        <v>93</v>
      </c>
      <c r="D341" s="79" t="s">
        <v>92</v>
      </c>
      <c r="E341" s="77" t="s">
        <v>91</v>
      </c>
      <c r="F341" s="77" t="s">
        <v>90</v>
      </c>
      <c r="G341" s="77" t="s">
        <v>33</v>
      </c>
      <c r="H341" s="78" t="s">
        <v>89</v>
      </c>
      <c r="I341" s="77" t="s">
        <v>88</v>
      </c>
      <c r="J341" s="76">
        <v>1.8</v>
      </c>
      <c r="K341" s="75">
        <f>41.47*1.2247</f>
        <v>50.788308999999991</v>
      </c>
      <c r="L341" s="74">
        <f>K341*J341</f>
        <v>91.418956199999982</v>
      </c>
      <c r="M341" s="73">
        <f>L341/$O$8</f>
        <v>5.4626773337843417E-5</v>
      </c>
      <c r="N341" s="72">
        <f>SUM(L341:L348)</f>
        <v>8608.1536018499992</v>
      </c>
      <c r="O341" s="71">
        <f>N341/$O$8</f>
        <v>5.1437434336578042E-3</v>
      </c>
      <c r="P341" s="51">
        <v>1.8</v>
      </c>
      <c r="Q341" s="50">
        <v>57.45</v>
      </c>
      <c r="R341" s="49">
        <v>103.41</v>
      </c>
      <c r="S341" s="48">
        <v>126.64622699999998</v>
      </c>
      <c r="T341" s="64">
        <v>0</v>
      </c>
      <c r="U341" s="66">
        <f>T341*K341</f>
        <v>0</v>
      </c>
      <c r="V341" s="65">
        <f>SUM(U341:U348)</f>
        <v>0</v>
      </c>
      <c r="W341" s="64">
        <f>T341</f>
        <v>0</v>
      </c>
      <c r="X341" s="66">
        <f>U341</f>
        <v>0</v>
      </c>
      <c r="Y341" s="65">
        <f>SUM(X341:X348)</f>
        <v>0</v>
      </c>
      <c r="Z341" s="64">
        <f>T341-W341</f>
        <v>0</v>
      </c>
      <c r="AA341" s="66">
        <f>L341-X341</f>
        <v>91.418956199999982</v>
      </c>
      <c r="AB341" s="62">
        <f>SUM(AA341:AA348)</f>
        <v>8608.1536018499992</v>
      </c>
    </row>
    <row r="342" spans="1:28" ht="33" customHeight="1">
      <c r="A342" s="98"/>
      <c r="B342" s="98"/>
      <c r="C342" s="60"/>
      <c r="D342" s="60"/>
      <c r="E342" s="58" t="s">
        <v>87</v>
      </c>
      <c r="F342" s="58">
        <v>38190</v>
      </c>
      <c r="G342" s="58" t="s">
        <v>26</v>
      </c>
      <c r="H342" s="59" t="s">
        <v>86</v>
      </c>
      <c r="I342" s="58" t="s">
        <v>24</v>
      </c>
      <c r="J342" s="57">
        <f>VLOOKUP(F342,'[1]Planilha Orçamentária'!B342:J719,5,FALSE)</f>
        <v>8</v>
      </c>
      <c r="K342" s="56">
        <f>VLOOKUP(F342,'[1]Planilha Orçamentária'!B343:J719,7,FALSE)*$K$1</f>
        <v>340.65336675000003</v>
      </c>
      <c r="L342" s="55">
        <f>K342*J342</f>
        <v>2725.2269340000003</v>
      </c>
      <c r="M342" s="54">
        <f>L342/$O$8</f>
        <v>1.6284407545861261E-3</v>
      </c>
      <c r="N342" s="53"/>
      <c r="O342" s="52"/>
      <c r="P342" s="51">
        <v>8</v>
      </c>
      <c r="Q342" s="50">
        <v>370.87</v>
      </c>
      <c r="R342" s="49">
        <v>2966.96</v>
      </c>
      <c r="S342" s="48">
        <v>3633.6359119999997</v>
      </c>
      <c r="T342" s="45">
        <v>0</v>
      </c>
      <c r="U342" s="47">
        <f>T342*K342</f>
        <v>0</v>
      </c>
      <c r="V342" s="108"/>
      <c r="W342" s="45">
        <f>T342</f>
        <v>0</v>
      </c>
      <c r="X342" s="47">
        <f>U342</f>
        <v>0</v>
      </c>
      <c r="Y342" s="108"/>
      <c r="Z342" s="45">
        <f>T342-W342</f>
        <v>0</v>
      </c>
      <c r="AA342" s="47">
        <f>L342-X342</f>
        <v>2725.2269340000003</v>
      </c>
      <c r="AB342" s="107"/>
    </row>
    <row r="343" spans="1:28" ht="33" customHeight="1">
      <c r="A343" s="98"/>
      <c r="B343" s="98"/>
      <c r="C343" s="60"/>
      <c r="D343" s="60"/>
      <c r="E343" s="58" t="s">
        <v>85</v>
      </c>
      <c r="F343" s="58">
        <v>86910</v>
      </c>
      <c r="G343" s="58" t="s">
        <v>26</v>
      </c>
      <c r="H343" s="59" t="s">
        <v>84</v>
      </c>
      <c r="I343" s="58" t="s">
        <v>24</v>
      </c>
      <c r="J343" s="57">
        <f>VLOOKUP(F343,'[1]Planilha Orçamentária'!B343:J720,5,FALSE)</f>
        <v>1</v>
      </c>
      <c r="K343" s="56">
        <f>VLOOKUP(F343,'[1]Planilha Orçamentária'!B344:J720,7,FALSE)*$K$1</f>
        <v>121.20855899999999</v>
      </c>
      <c r="L343" s="55">
        <f>K343*J343</f>
        <v>121.20855899999999</v>
      </c>
      <c r="M343" s="54">
        <f>L343/$O$8</f>
        <v>7.2427347175285539E-5</v>
      </c>
      <c r="N343" s="53"/>
      <c r="O343" s="52"/>
      <c r="P343" s="51">
        <v>1</v>
      </c>
      <c r="Q343" s="50">
        <v>131.78</v>
      </c>
      <c r="R343" s="49">
        <v>131.78</v>
      </c>
      <c r="S343" s="48">
        <v>161.39096599999999</v>
      </c>
      <c r="T343" s="45">
        <v>0</v>
      </c>
      <c r="U343" s="47">
        <f>T343*K343</f>
        <v>0</v>
      </c>
      <c r="V343" s="108"/>
      <c r="W343" s="45">
        <f>T343</f>
        <v>0</v>
      </c>
      <c r="X343" s="47">
        <f>U343</f>
        <v>0</v>
      </c>
      <c r="Y343" s="108"/>
      <c r="Z343" s="45">
        <f>T343-W343</f>
        <v>0</v>
      </c>
      <c r="AA343" s="47">
        <f>L343-X343</f>
        <v>121.20855899999999</v>
      </c>
      <c r="AB343" s="107"/>
    </row>
    <row r="344" spans="1:28" ht="33" customHeight="1">
      <c r="A344" s="98"/>
      <c r="B344" s="98"/>
      <c r="C344" s="60"/>
      <c r="D344" s="60"/>
      <c r="E344" s="58" t="s">
        <v>83</v>
      </c>
      <c r="F344" s="58">
        <v>86914</v>
      </c>
      <c r="G344" s="58" t="s">
        <v>26</v>
      </c>
      <c r="H344" s="59" t="s">
        <v>82</v>
      </c>
      <c r="I344" s="58" t="s">
        <v>24</v>
      </c>
      <c r="J344" s="57">
        <f>VLOOKUP(F344,'[1]Planilha Orçamentária'!B344:J721,5,FALSE)</f>
        <v>1</v>
      </c>
      <c r="K344" s="56">
        <f>VLOOKUP(F344,'[1]Planilha Orçamentária'!B345:J721,7,FALSE)*$K$1</f>
        <v>94.047774750000002</v>
      </c>
      <c r="L344" s="55">
        <f>K344*J344</f>
        <v>94.047774750000002</v>
      </c>
      <c r="M344" s="54">
        <f>L344/$O$8</f>
        <v>5.6197605920562948E-5</v>
      </c>
      <c r="N344" s="53"/>
      <c r="O344" s="52"/>
      <c r="P344" s="51">
        <v>1</v>
      </c>
      <c r="Q344" s="50">
        <v>102.16</v>
      </c>
      <c r="R344" s="49">
        <v>102.16</v>
      </c>
      <c r="S344" s="48">
        <v>125.11535199999999</v>
      </c>
      <c r="T344" s="45">
        <v>0</v>
      </c>
      <c r="U344" s="47">
        <f>T344*K344</f>
        <v>0</v>
      </c>
      <c r="V344" s="108"/>
      <c r="W344" s="45">
        <f>T344</f>
        <v>0</v>
      </c>
      <c r="X344" s="47">
        <f>U344</f>
        <v>0</v>
      </c>
      <c r="Y344" s="108"/>
      <c r="Z344" s="45">
        <f>T344-W344</f>
        <v>0</v>
      </c>
      <c r="AA344" s="47">
        <f>L344-X344</f>
        <v>94.047774750000002</v>
      </c>
      <c r="AB344" s="107"/>
    </row>
    <row r="345" spans="1:28" ht="33" customHeight="1">
      <c r="A345" s="98"/>
      <c r="B345" s="98"/>
      <c r="C345" s="60"/>
      <c r="D345" s="60"/>
      <c r="E345" s="58" t="s">
        <v>81</v>
      </c>
      <c r="F345" s="58">
        <v>100868</v>
      </c>
      <c r="G345" s="58" t="s">
        <v>26</v>
      </c>
      <c r="H345" s="59" t="s">
        <v>80</v>
      </c>
      <c r="I345" s="58" t="s">
        <v>24</v>
      </c>
      <c r="J345" s="57">
        <f>VLOOKUP(F345,'[1]Planilha Orçamentária'!B345:J722,5,FALSE)</f>
        <v>6</v>
      </c>
      <c r="K345" s="56">
        <f>VLOOKUP(F345,'[1]Planilha Orçamentária'!B346:J722,7,FALSE)*$K$1</f>
        <v>275.56668524999998</v>
      </c>
      <c r="L345" s="55">
        <f>K345*J345</f>
        <v>1653.4001114999999</v>
      </c>
      <c r="M345" s="54">
        <f>L345/$O$8</f>
        <v>9.8797795207899715E-4</v>
      </c>
      <c r="N345" s="53"/>
      <c r="O345" s="52"/>
      <c r="P345" s="51">
        <v>6</v>
      </c>
      <c r="Q345" s="50">
        <v>302.20999999999998</v>
      </c>
      <c r="R345" s="49">
        <v>1813.26</v>
      </c>
      <c r="S345" s="48">
        <v>2220.6995219999999</v>
      </c>
      <c r="T345" s="45">
        <v>0</v>
      </c>
      <c r="U345" s="47">
        <f>T345*K345</f>
        <v>0</v>
      </c>
      <c r="V345" s="108"/>
      <c r="W345" s="45">
        <f>T345</f>
        <v>0</v>
      </c>
      <c r="X345" s="47">
        <f>U345</f>
        <v>0</v>
      </c>
      <c r="Y345" s="108"/>
      <c r="Z345" s="45">
        <f>T345-W345</f>
        <v>0</v>
      </c>
      <c r="AA345" s="47">
        <f>L345-X345</f>
        <v>1653.4001114999999</v>
      </c>
      <c r="AB345" s="107"/>
    </row>
    <row r="346" spans="1:28" ht="33" customHeight="1">
      <c r="A346" s="98"/>
      <c r="B346" s="98"/>
      <c r="C346" s="60"/>
      <c r="D346" s="60"/>
      <c r="E346" s="58" t="s">
        <v>79</v>
      </c>
      <c r="F346" s="58">
        <v>100865</v>
      </c>
      <c r="G346" s="58" t="s">
        <v>26</v>
      </c>
      <c r="H346" s="59" t="s">
        <v>78</v>
      </c>
      <c r="I346" s="58" t="s">
        <v>24</v>
      </c>
      <c r="J346" s="57">
        <f>VLOOKUP(F346,'[1]Planilha Orçamentária'!B346:J723,5,FALSE)</f>
        <v>4</v>
      </c>
      <c r="K346" s="56">
        <f>VLOOKUP(F346,'[1]Planilha Orçamentária'!B347:J723,7,FALSE)*$K$1</f>
        <v>372.75581549999998</v>
      </c>
      <c r="L346" s="55">
        <f>K346*J346</f>
        <v>1491.0232619999999</v>
      </c>
      <c r="M346" s="54">
        <f>L346/$O$8</f>
        <v>8.9095077389131176E-4</v>
      </c>
      <c r="N346" s="53"/>
      <c r="O346" s="52"/>
      <c r="P346" s="51">
        <v>4</v>
      </c>
      <c r="Q346" s="50">
        <v>417.57</v>
      </c>
      <c r="R346" s="49">
        <v>1670.28</v>
      </c>
      <c r="S346" s="48">
        <v>2045.5919159999999</v>
      </c>
      <c r="T346" s="45">
        <v>0</v>
      </c>
      <c r="U346" s="47">
        <f>T346*K346</f>
        <v>0</v>
      </c>
      <c r="V346" s="108"/>
      <c r="W346" s="45">
        <f>T346</f>
        <v>0</v>
      </c>
      <c r="X346" s="47">
        <f>U346</f>
        <v>0</v>
      </c>
      <c r="Y346" s="108"/>
      <c r="Z346" s="45">
        <f>T346-W346</f>
        <v>0</v>
      </c>
      <c r="AA346" s="47">
        <f>L346-X346</f>
        <v>1491.0232619999999</v>
      </c>
      <c r="AB346" s="107"/>
    </row>
    <row r="347" spans="1:28" ht="33" customHeight="1">
      <c r="A347" s="98"/>
      <c r="B347" s="98"/>
      <c r="C347" s="60"/>
      <c r="D347" s="60"/>
      <c r="E347" s="58" t="s">
        <v>77</v>
      </c>
      <c r="F347" s="58">
        <v>100874</v>
      </c>
      <c r="G347" s="58" t="s">
        <v>26</v>
      </c>
      <c r="H347" s="59" t="s">
        <v>76</v>
      </c>
      <c r="I347" s="58" t="s">
        <v>24</v>
      </c>
      <c r="J347" s="57">
        <f>VLOOKUP(F347,'[1]Planilha Orçamentária'!B347:J724,5,FALSE)</f>
        <v>4</v>
      </c>
      <c r="K347" s="56">
        <f>VLOOKUP(F347,'[1]Planilha Orçamentária'!B348:J724,7,FALSE)*$K$1</f>
        <v>258.4178235</v>
      </c>
      <c r="L347" s="55">
        <f>K347*J347</f>
        <v>1033.671294</v>
      </c>
      <c r="M347" s="54">
        <f>L347/$O$8</f>
        <v>6.1766322686556026E-4</v>
      </c>
      <c r="N347" s="53"/>
      <c r="O347" s="52"/>
      <c r="P347" s="51">
        <v>4</v>
      </c>
      <c r="Q347" s="50">
        <v>282.61</v>
      </c>
      <c r="R347" s="49">
        <v>1130.44</v>
      </c>
      <c r="S347" s="48">
        <v>1384.4498679999999</v>
      </c>
      <c r="T347" s="45">
        <v>0</v>
      </c>
      <c r="U347" s="47">
        <f>T347*K347</f>
        <v>0</v>
      </c>
      <c r="V347" s="108"/>
      <c r="W347" s="45">
        <f>T347</f>
        <v>0</v>
      </c>
      <c r="X347" s="47">
        <f>U347</f>
        <v>0</v>
      </c>
      <c r="Y347" s="108"/>
      <c r="Z347" s="45">
        <f>T347-W347</f>
        <v>0</v>
      </c>
      <c r="AA347" s="47">
        <f>L347-X347</f>
        <v>1033.671294</v>
      </c>
      <c r="AB347" s="107"/>
    </row>
    <row r="348" spans="1:28" ht="33" customHeight="1" thickBot="1">
      <c r="A348" s="104"/>
      <c r="B348" s="104"/>
      <c r="C348" s="41"/>
      <c r="D348" s="41"/>
      <c r="E348" s="39" t="s">
        <v>75</v>
      </c>
      <c r="F348" s="39">
        <v>11186</v>
      </c>
      <c r="G348" s="39" t="s">
        <v>26</v>
      </c>
      <c r="H348" s="40" t="s">
        <v>74</v>
      </c>
      <c r="I348" s="39" t="s">
        <v>45</v>
      </c>
      <c r="J348" s="38">
        <v>3.6</v>
      </c>
      <c r="K348" s="37">
        <f>317.12*1.2247</f>
        <v>388.37686399999996</v>
      </c>
      <c r="L348" s="36">
        <f>K348*J348</f>
        <v>1398.1567103999998</v>
      </c>
      <c r="M348" s="35">
        <f>L348/$O$8</f>
        <v>8.3545899980211748E-4</v>
      </c>
      <c r="N348" s="34"/>
      <c r="O348" s="33"/>
      <c r="P348" s="51">
        <v>3.6</v>
      </c>
      <c r="Q348" s="50">
        <v>471.13</v>
      </c>
      <c r="R348" s="49">
        <v>1696.06</v>
      </c>
      <c r="S348" s="48">
        <v>2077.1646819999996</v>
      </c>
      <c r="T348" s="27">
        <v>0</v>
      </c>
      <c r="U348" s="26">
        <f>T348*K348</f>
        <v>0</v>
      </c>
      <c r="V348" s="106"/>
      <c r="W348" s="27">
        <f>T348</f>
        <v>0</v>
      </c>
      <c r="X348" s="26">
        <f>U348</f>
        <v>0</v>
      </c>
      <c r="Y348" s="106"/>
      <c r="Z348" s="27">
        <f>T348-W348</f>
        <v>0</v>
      </c>
      <c r="AA348" s="26">
        <f>L348-X348</f>
        <v>1398.1567103999998</v>
      </c>
      <c r="AB348" s="105"/>
    </row>
    <row r="349" spans="1:28" ht="22.15" customHeight="1">
      <c r="A349" s="101" t="s">
        <v>73</v>
      </c>
      <c r="B349" s="101">
        <v>11</v>
      </c>
      <c r="C349" s="79" t="s">
        <v>72</v>
      </c>
      <c r="D349" s="79" t="s">
        <v>71</v>
      </c>
      <c r="E349" s="77" t="s">
        <v>70</v>
      </c>
      <c r="F349" s="77" t="s">
        <v>69</v>
      </c>
      <c r="G349" s="77" t="s">
        <v>33</v>
      </c>
      <c r="H349" s="78" t="s">
        <v>68</v>
      </c>
      <c r="I349" s="77" t="s">
        <v>24</v>
      </c>
      <c r="J349" s="76">
        <f>VLOOKUP(F349,'[1]Planilha Orçamentária'!B349:J726,5,FALSE)</f>
        <v>1</v>
      </c>
      <c r="K349" s="75">
        <f>VLOOKUP(F349,'[1]Planilha Orçamentária'!B350:J726,7,FALSE)*$K$1</f>
        <v>817.69851074999997</v>
      </c>
      <c r="L349" s="74">
        <f>K349*J349</f>
        <v>817.69851074999997</v>
      </c>
      <c r="M349" s="73">
        <f>L349/$O$8</f>
        <v>4.8861016426079453E-4</v>
      </c>
      <c r="N349" s="72">
        <f>SUM(L349:L352)</f>
        <v>4096.4531037500001</v>
      </c>
      <c r="O349" s="71">
        <f>N349/$O$8</f>
        <v>2.4478075936252754E-3</v>
      </c>
      <c r="P349" s="97">
        <v>1</v>
      </c>
      <c r="Q349" s="50">
        <v>978.4</v>
      </c>
      <c r="R349" s="49">
        <v>978.4</v>
      </c>
      <c r="S349" s="48">
        <v>1198.2464799999998</v>
      </c>
      <c r="T349" s="64">
        <v>0</v>
      </c>
      <c r="U349" s="66">
        <f>T349*K349</f>
        <v>0</v>
      </c>
      <c r="V349" s="100">
        <f>U349+U350+U351+U352</f>
        <v>0</v>
      </c>
      <c r="W349" s="64">
        <f>T349</f>
        <v>0</v>
      </c>
      <c r="X349" s="66">
        <f>U349</f>
        <v>0</v>
      </c>
      <c r="Y349" s="100">
        <f>X349+X350+X351+X352</f>
        <v>0</v>
      </c>
      <c r="Z349" s="64">
        <f>T349-W349</f>
        <v>0</v>
      </c>
      <c r="AA349" s="63">
        <f>L349-X349</f>
        <v>817.69851074999997</v>
      </c>
      <c r="AB349" s="99">
        <f>AA349+AA350+AA351+AA352</f>
        <v>4096.4531037500001</v>
      </c>
    </row>
    <row r="350" spans="1:28" ht="22.15" customHeight="1">
      <c r="A350" s="98"/>
      <c r="B350" s="98"/>
      <c r="C350" s="60"/>
      <c r="D350" s="60"/>
      <c r="E350" s="58" t="s">
        <v>67</v>
      </c>
      <c r="F350" s="58">
        <v>102111</v>
      </c>
      <c r="G350" s="58" t="s">
        <v>26</v>
      </c>
      <c r="H350" s="59" t="s">
        <v>66</v>
      </c>
      <c r="I350" s="58" t="s">
        <v>24</v>
      </c>
      <c r="J350" s="57">
        <f>VLOOKUP(F350,'[1]Planilha Orçamentária'!B350:J727,5,FALSE)</f>
        <v>2</v>
      </c>
      <c r="K350" s="56">
        <f>VLOOKUP(F350,'[1]Planilha Orçamentária'!B351:J727,7,FALSE)*$K$1</f>
        <v>870.21058499999992</v>
      </c>
      <c r="L350" s="55">
        <f>K350*J350</f>
        <v>1740.4211699999998</v>
      </c>
      <c r="M350" s="54">
        <f>L350/$O$8</f>
        <v>1.0399767916621024E-3</v>
      </c>
      <c r="N350" s="53"/>
      <c r="O350" s="52"/>
      <c r="P350" s="97">
        <v>2</v>
      </c>
      <c r="Q350" s="50">
        <v>960.1</v>
      </c>
      <c r="R350" s="49">
        <v>1920.2</v>
      </c>
      <c r="S350" s="48">
        <v>2351.66894</v>
      </c>
      <c r="T350" s="45">
        <v>0</v>
      </c>
      <c r="U350" s="47">
        <f>T350*K350</f>
        <v>0</v>
      </c>
      <c r="V350" s="83"/>
      <c r="W350" s="45">
        <f>T350</f>
        <v>0</v>
      </c>
      <c r="X350" s="47">
        <f>U350</f>
        <v>0</v>
      </c>
      <c r="Y350" s="83"/>
      <c r="Z350" s="45">
        <f>T350-W350</f>
        <v>0</v>
      </c>
      <c r="AA350" s="44">
        <f>L350-X350</f>
        <v>1740.4211699999998</v>
      </c>
      <c r="AB350" s="81"/>
    </row>
    <row r="351" spans="1:28" ht="22.15" customHeight="1">
      <c r="A351" s="98"/>
      <c r="B351" s="98"/>
      <c r="C351" s="60"/>
      <c r="D351" s="60"/>
      <c r="E351" s="58" t="s">
        <v>65</v>
      </c>
      <c r="F351" s="58">
        <v>102137</v>
      </c>
      <c r="G351" s="58" t="s">
        <v>26</v>
      </c>
      <c r="H351" s="59" t="s">
        <v>64</v>
      </c>
      <c r="I351" s="58" t="s">
        <v>24</v>
      </c>
      <c r="J351" s="57">
        <v>2</v>
      </c>
      <c r="K351" s="56">
        <f>70.51*1.2247</f>
        <v>86.353596999999993</v>
      </c>
      <c r="L351" s="55">
        <f>K351*J351</f>
        <v>172.70719399999999</v>
      </c>
      <c r="M351" s="54">
        <f>L351/$O$8</f>
        <v>1.0320000503848405E-4</v>
      </c>
      <c r="N351" s="53"/>
      <c r="O351" s="52"/>
      <c r="P351" s="97">
        <v>2</v>
      </c>
      <c r="Q351" s="50">
        <v>93.24</v>
      </c>
      <c r="R351" s="49">
        <v>186.48</v>
      </c>
      <c r="S351" s="48">
        <v>228.38205599999998</v>
      </c>
      <c r="T351" s="82">
        <v>0</v>
      </c>
      <c r="U351" s="44">
        <f>T351*K351</f>
        <v>0</v>
      </c>
      <c r="V351" s="83"/>
      <c r="W351" s="82">
        <f>T351</f>
        <v>0</v>
      </c>
      <c r="X351" s="44">
        <f>U351</f>
        <v>0</v>
      </c>
      <c r="Y351" s="83"/>
      <c r="Z351" s="82">
        <f>T351-W351</f>
        <v>0</v>
      </c>
      <c r="AA351" s="44">
        <f>L351-X351</f>
        <v>172.70719399999999</v>
      </c>
      <c r="AB351" s="81"/>
    </row>
    <row r="352" spans="1:28" ht="22.15" customHeight="1" thickBot="1">
      <c r="A352" s="104"/>
      <c r="B352" s="104"/>
      <c r="C352" s="41"/>
      <c r="D352" s="41"/>
      <c r="E352" s="39" t="s">
        <v>63</v>
      </c>
      <c r="F352" s="39" t="s">
        <v>62</v>
      </c>
      <c r="G352" s="39" t="s">
        <v>52</v>
      </c>
      <c r="H352" s="40" t="s">
        <v>61</v>
      </c>
      <c r="I352" s="39" t="s">
        <v>24</v>
      </c>
      <c r="J352" s="38">
        <v>1</v>
      </c>
      <c r="K352" s="37">
        <f>1115.07*1.2247</f>
        <v>1365.6262289999997</v>
      </c>
      <c r="L352" s="36">
        <f>K352*J352</f>
        <v>1365.6262289999997</v>
      </c>
      <c r="M352" s="35">
        <f>L352/$O$8</f>
        <v>8.1602063266389446E-4</v>
      </c>
      <c r="N352" s="34"/>
      <c r="O352" s="33"/>
      <c r="P352" s="97">
        <v>1</v>
      </c>
      <c r="Q352" s="50">
        <v>1476.68</v>
      </c>
      <c r="R352" s="49">
        <v>1476.68</v>
      </c>
      <c r="S352" s="48">
        <v>1808.489996</v>
      </c>
      <c r="T352" s="27">
        <v>0</v>
      </c>
      <c r="U352" s="26">
        <f>T352*K352</f>
        <v>0</v>
      </c>
      <c r="V352" s="103"/>
      <c r="W352" s="27">
        <f>T352</f>
        <v>0</v>
      </c>
      <c r="X352" s="26">
        <f>U352</f>
        <v>0</v>
      </c>
      <c r="Y352" s="103"/>
      <c r="Z352" s="27">
        <f>T352-W352</f>
        <v>0</v>
      </c>
      <c r="AA352" s="26">
        <f>L352-X352</f>
        <v>1365.6262289999997</v>
      </c>
      <c r="AB352" s="102"/>
    </row>
    <row r="353" spans="1:28" ht="12.75" customHeight="1">
      <c r="A353" s="101" t="s">
        <v>60</v>
      </c>
      <c r="B353" s="101">
        <v>11</v>
      </c>
      <c r="C353" s="79" t="s">
        <v>59</v>
      </c>
      <c r="D353" s="79" t="s">
        <v>58</v>
      </c>
      <c r="E353" s="77" t="s">
        <v>57</v>
      </c>
      <c r="F353" s="77" t="s">
        <v>56</v>
      </c>
      <c r="G353" s="77" t="s">
        <v>52</v>
      </c>
      <c r="H353" s="78" t="s">
        <v>55</v>
      </c>
      <c r="I353" s="77" t="s">
        <v>45</v>
      </c>
      <c r="J353" s="76">
        <f>VLOOKUP(F353,'[1]Planilha Orçamentária'!B353:J730,5,FALSE)</f>
        <v>7.2</v>
      </c>
      <c r="K353" s="75">
        <f>VLOOKUP(F353,'[1]Planilha Orçamentária'!B354:J730,7,FALSE)*$K$1</f>
        <v>1304.3514262499998</v>
      </c>
      <c r="L353" s="74">
        <f>K353*J353</f>
        <v>9391.3302689999982</v>
      </c>
      <c r="M353" s="73">
        <f>L353/$O$8</f>
        <v>5.6117253058889233E-3</v>
      </c>
      <c r="N353" s="72">
        <f>SUM(L353:L356)</f>
        <v>30216.487201897497</v>
      </c>
      <c r="O353" s="71">
        <f>N353/$O$8</f>
        <v>1.8055655698286145E-2</v>
      </c>
      <c r="P353" s="97">
        <v>7.2</v>
      </c>
      <c r="Q353" s="50">
        <v>1394.94</v>
      </c>
      <c r="R353" s="49">
        <v>10043.56</v>
      </c>
      <c r="S353" s="48">
        <v>12300.347931999999</v>
      </c>
      <c r="T353" s="64">
        <v>0</v>
      </c>
      <c r="U353" s="66">
        <f>T353*K353</f>
        <v>0</v>
      </c>
      <c r="V353" s="100">
        <f>U353+U354+U355+U356</f>
        <v>0</v>
      </c>
      <c r="W353" s="64">
        <f>T353</f>
        <v>0</v>
      </c>
      <c r="X353" s="66">
        <f>U353</f>
        <v>0</v>
      </c>
      <c r="Y353" s="100">
        <f>X353+X354+X355+X356</f>
        <v>0</v>
      </c>
      <c r="Z353" s="64">
        <f>T353-W353</f>
        <v>0</v>
      </c>
      <c r="AA353" s="63">
        <f>L353-X353</f>
        <v>9391.3302689999982</v>
      </c>
      <c r="AB353" s="99">
        <f>AA353+AA354+AA355+AA356</f>
        <v>30216.487201897497</v>
      </c>
    </row>
    <row r="354" spans="1:28" ht="51">
      <c r="A354" s="98"/>
      <c r="B354" s="98"/>
      <c r="C354" s="60"/>
      <c r="D354" s="60"/>
      <c r="E354" s="58" t="s">
        <v>54</v>
      </c>
      <c r="F354" s="58" t="s">
        <v>53</v>
      </c>
      <c r="G354" s="58" t="s">
        <v>52</v>
      </c>
      <c r="H354" s="59" t="s">
        <v>51</v>
      </c>
      <c r="I354" s="58" t="s">
        <v>24</v>
      </c>
      <c r="J354" s="57">
        <f>VLOOKUP(F354,'[1]Planilha Orçamentária'!B354:J731,5,FALSE)</f>
        <v>3</v>
      </c>
      <c r="K354" s="56">
        <f>VLOOKUP(F354,'[1]Planilha Orçamentária'!B355:J731,7,FALSE)*$K$1</f>
        <v>740.51485500000001</v>
      </c>
      <c r="L354" s="55">
        <f>K354*J354</f>
        <v>2221.5445650000001</v>
      </c>
      <c r="M354" s="54">
        <f>L354/$O$8</f>
        <v>1.3274687926503911E-3</v>
      </c>
      <c r="N354" s="53"/>
      <c r="O354" s="52"/>
      <c r="P354" s="97">
        <v>3</v>
      </c>
      <c r="Q354" s="50">
        <v>785.51</v>
      </c>
      <c r="R354" s="49">
        <v>2356.5300000000002</v>
      </c>
      <c r="S354" s="48">
        <v>2886.0422910000002</v>
      </c>
      <c r="T354" s="45">
        <v>0</v>
      </c>
      <c r="U354" s="47">
        <f>T354*K354</f>
        <v>0</v>
      </c>
      <c r="V354" s="83"/>
      <c r="W354" s="45">
        <f>T354</f>
        <v>0</v>
      </c>
      <c r="X354" s="47">
        <f>U354</f>
        <v>0</v>
      </c>
      <c r="Y354" s="83"/>
      <c r="Z354" s="45">
        <f>T354-W354</f>
        <v>0</v>
      </c>
      <c r="AA354" s="44">
        <f>L354-X354</f>
        <v>2221.5445650000001</v>
      </c>
      <c r="AB354" s="81"/>
    </row>
    <row r="355" spans="1:28" ht="25.5">
      <c r="A355" s="98"/>
      <c r="B355" s="98"/>
      <c r="C355" s="60"/>
      <c r="D355" s="60"/>
      <c r="E355" s="58" t="s">
        <v>50</v>
      </c>
      <c r="F355" s="58">
        <v>86936</v>
      </c>
      <c r="G355" s="58" t="s">
        <v>26</v>
      </c>
      <c r="H355" s="59" t="s">
        <v>49</v>
      </c>
      <c r="I355" s="58" t="s">
        <v>24</v>
      </c>
      <c r="J355" s="57">
        <f>VLOOKUP(F355,'[1]Planilha Orçamentária'!B355:J732,5,FALSE)</f>
        <v>1</v>
      </c>
      <c r="K355" s="56">
        <f>VLOOKUP(F355,'[1]Planilha Orçamentária'!B356:J732,7,FALSE)*$K$1</f>
        <v>479.92012724999995</v>
      </c>
      <c r="L355" s="55">
        <f>K355*J355</f>
        <v>479.92012724999995</v>
      </c>
      <c r="M355" s="54">
        <f>L355/$O$8</f>
        <v>2.867729965566455E-4</v>
      </c>
      <c r="N355" s="53"/>
      <c r="O355" s="52"/>
      <c r="P355" s="97">
        <v>1</v>
      </c>
      <c r="Q355" s="50">
        <v>502.08</v>
      </c>
      <c r="R355" s="49">
        <v>502.08</v>
      </c>
      <c r="S355" s="48">
        <v>614.89737599999989</v>
      </c>
      <c r="T355" s="82">
        <v>0</v>
      </c>
      <c r="U355" s="44">
        <f>T355*K355</f>
        <v>0</v>
      </c>
      <c r="V355" s="83"/>
      <c r="W355" s="82">
        <f>T355</f>
        <v>0</v>
      </c>
      <c r="X355" s="44">
        <f>U355</f>
        <v>0</v>
      </c>
      <c r="Y355" s="83"/>
      <c r="Z355" s="82">
        <f>T355-W355</f>
        <v>0</v>
      </c>
      <c r="AA355" s="44">
        <f>L355-X355</f>
        <v>479.92012724999995</v>
      </c>
      <c r="AB355" s="81"/>
    </row>
    <row r="356" spans="1:28" ht="15" thickBot="1">
      <c r="A356" s="96"/>
      <c r="B356" s="96"/>
      <c r="C356" s="95"/>
      <c r="D356" s="95"/>
      <c r="E356" s="92" t="s">
        <v>48</v>
      </c>
      <c r="F356" s="92" t="s">
        <v>47</v>
      </c>
      <c r="G356" s="94" t="s">
        <v>33</v>
      </c>
      <c r="H356" s="93" t="s">
        <v>46</v>
      </c>
      <c r="I356" s="92" t="s">
        <v>45</v>
      </c>
      <c r="J356" s="91">
        <f>VLOOKUP(F356,'[1]Planilha Orçamentária'!B356:J733,5,FALSE)</f>
        <v>18.53</v>
      </c>
      <c r="K356" s="90">
        <f>VLOOKUP(F356,'[1]Planilha Orçamentária'!B357:J733,7,FALSE)*$K$1</f>
        <v>978.07297574999984</v>
      </c>
      <c r="L356" s="89">
        <f>K356*J356</f>
        <v>18123.692240647499</v>
      </c>
      <c r="M356" s="88">
        <f>L356/$O$8</f>
        <v>1.0829688603190184E-2</v>
      </c>
      <c r="N356" s="53"/>
      <c r="O356" s="52"/>
      <c r="P356" s="87">
        <v>18.53</v>
      </c>
      <c r="Q356" s="86">
        <v>1046.19</v>
      </c>
      <c r="R356" s="85">
        <v>19385.900000000001</v>
      </c>
      <c r="S356" s="84">
        <v>23741.91173</v>
      </c>
      <c r="T356" s="82">
        <v>0</v>
      </c>
      <c r="U356" s="44">
        <f>T356*K356</f>
        <v>0</v>
      </c>
      <c r="V356" s="83"/>
      <c r="W356" s="82">
        <f>T356</f>
        <v>0</v>
      </c>
      <c r="X356" s="44">
        <f>U356</f>
        <v>0</v>
      </c>
      <c r="Y356" s="83"/>
      <c r="Z356" s="82">
        <f>T356-W356</f>
        <v>0</v>
      </c>
      <c r="AA356" s="44">
        <f>L356-X356</f>
        <v>18123.692240647499</v>
      </c>
      <c r="AB356" s="81"/>
    </row>
    <row r="357" spans="1:28" ht="25.5">
      <c r="A357" s="80" t="s">
        <v>44</v>
      </c>
      <c r="B357" s="80">
        <v>12</v>
      </c>
      <c r="C357" s="79" t="s">
        <v>43</v>
      </c>
      <c r="D357" s="79" t="s">
        <v>42</v>
      </c>
      <c r="E357" s="77" t="s">
        <v>41</v>
      </c>
      <c r="F357" s="77">
        <v>101905</v>
      </c>
      <c r="G357" s="77" t="s">
        <v>26</v>
      </c>
      <c r="H357" s="78" t="s">
        <v>40</v>
      </c>
      <c r="I357" s="77" t="s">
        <v>24</v>
      </c>
      <c r="J357" s="76">
        <f>VLOOKUP(F357,'[1]Planilha Orçamentária'!B357:J734,5,FALSE)</f>
        <v>1</v>
      </c>
      <c r="K357" s="75">
        <f>VLOOKUP(F357,'[1]Planilha Orçamentária'!B358:J734,7,FALSE)*$K$1</f>
        <v>260.21813250000002</v>
      </c>
      <c r="L357" s="74">
        <f>K357*J357</f>
        <v>260.21813250000002</v>
      </c>
      <c r="M357" s="73">
        <f>L357/$O$8</f>
        <v>1.5549156907213092E-4</v>
      </c>
      <c r="N357" s="72">
        <f>SUM(L357:L363)</f>
        <v>5400.4585522500001</v>
      </c>
      <c r="O357" s="71">
        <f>N357/$O$8</f>
        <v>3.2270071494666535E-3</v>
      </c>
      <c r="P357" s="70">
        <v>1</v>
      </c>
      <c r="Q357" s="69">
        <v>265.52</v>
      </c>
      <c r="R357" s="68">
        <v>265.52</v>
      </c>
      <c r="S357" s="67">
        <v>325.18234399999994</v>
      </c>
      <c r="T357" s="64">
        <v>0</v>
      </c>
      <c r="U357" s="66">
        <f>T357*K357</f>
        <v>0</v>
      </c>
      <c r="V357" s="65">
        <f>SUM(U357:U363)</f>
        <v>0</v>
      </c>
      <c r="W357" s="64">
        <f>T357</f>
        <v>0</v>
      </c>
      <c r="X357" s="66">
        <f>U357</f>
        <v>0</v>
      </c>
      <c r="Y357" s="65">
        <f>SUM(X357:X363)</f>
        <v>0</v>
      </c>
      <c r="Z357" s="64">
        <f>T357-W357</f>
        <v>0</v>
      </c>
      <c r="AA357" s="63">
        <f>L357-X357</f>
        <v>260.21813250000002</v>
      </c>
      <c r="AB357" s="62">
        <f>SUM(AA357:AA363)</f>
        <v>5400.4585522500001</v>
      </c>
    </row>
    <row r="358" spans="1:28" ht="25.5">
      <c r="A358" s="61"/>
      <c r="B358" s="61"/>
      <c r="C358" s="60"/>
      <c r="D358" s="60"/>
      <c r="E358" s="58" t="s">
        <v>39</v>
      </c>
      <c r="F358" s="58">
        <v>101907</v>
      </c>
      <c r="G358" s="58" t="s">
        <v>26</v>
      </c>
      <c r="H358" s="59" t="s">
        <v>38</v>
      </c>
      <c r="I358" s="58" t="s">
        <v>24</v>
      </c>
      <c r="J358" s="57">
        <f>VLOOKUP(F358,'[1]Planilha Orçamentária'!B358:J735,5,FALSE)</f>
        <v>3</v>
      </c>
      <c r="K358" s="56">
        <f>VLOOKUP(F358,'[1]Planilha Orçamentária'!B359:J735,7,FALSE)*$K$1</f>
        <v>816.50442824999993</v>
      </c>
      <c r="L358" s="55">
        <f>K358*J358</f>
        <v>2449.5132847499999</v>
      </c>
      <c r="M358" s="54">
        <f>L358/$O$8</f>
        <v>1.4636899452377971E-3</v>
      </c>
      <c r="N358" s="53"/>
      <c r="O358" s="52"/>
      <c r="P358" s="51">
        <v>3</v>
      </c>
      <c r="Q358" s="50">
        <v>830.35</v>
      </c>
      <c r="R358" s="49">
        <v>2491.0500000000002</v>
      </c>
      <c r="S358" s="48">
        <v>3050.788935</v>
      </c>
      <c r="T358" s="45">
        <v>0</v>
      </c>
      <c r="U358" s="47">
        <f>T358*K358</f>
        <v>0</v>
      </c>
      <c r="V358" s="46"/>
      <c r="W358" s="45">
        <f>T358</f>
        <v>0</v>
      </c>
      <c r="X358" s="47">
        <f>U358</f>
        <v>0</v>
      </c>
      <c r="Y358" s="46"/>
      <c r="Z358" s="45">
        <f>T358-W358</f>
        <v>0</v>
      </c>
      <c r="AA358" s="44">
        <f>L358-X358</f>
        <v>2449.5132847499999</v>
      </c>
      <c r="AB358" s="43"/>
    </row>
    <row r="359" spans="1:28" ht="25.5">
      <c r="A359" s="61"/>
      <c r="B359" s="61"/>
      <c r="C359" s="60"/>
      <c r="D359" s="60"/>
      <c r="E359" s="58" t="s">
        <v>37</v>
      </c>
      <c r="F359" s="58">
        <v>101909</v>
      </c>
      <c r="G359" s="58" t="s">
        <v>26</v>
      </c>
      <c r="H359" s="59" t="s">
        <v>36</v>
      </c>
      <c r="I359" s="58" t="s">
        <v>24</v>
      </c>
      <c r="J359" s="57">
        <f>VLOOKUP(F359,'[1]Planilha Orçamentária'!B359:J736,5,FALSE)</f>
        <v>3</v>
      </c>
      <c r="K359" s="56">
        <f>VLOOKUP(F359,'[1]Planilha Orçamentária'!B360:J736,7,FALSE)*$K$1</f>
        <v>292.94517824999997</v>
      </c>
      <c r="L359" s="55">
        <f>K359*J359</f>
        <v>878.83553474999985</v>
      </c>
      <c r="M359" s="54">
        <f>L359/$O$8</f>
        <v>5.2514217568840136E-4</v>
      </c>
      <c r="N359" s="53"/>
      <c r="O359" s="52"/>
      <c r="P359" s="51">
        <v>3</v>
      </c>
      <c r="Q359" s="50">
        <v>298.75</v>
      </c>
      <c r="R359" s="49">
        <v>896.25</v>
      </c>
      <c r="S359" s="48">
        <v>1097.637375</v>
      </c>
      <c r="T359" s="45">
        <v>0</v>
      </c>
      <c r="U359" s="47">
        <f>T359*K359</f>
        <v>0</v>
      </c>
      <c r="V359" s="46"/>
      <c r="W359" s="45">
        <f>T359</f>
        <v>0</v>
      </c>
      <c r="X359" s="47">
        <f>U359</f>
        <v>0</v>
      </c>
      <c r="Y359" s="46"/>
      <c r="Z359" s="45">
        <f>T359-W359</f>
        <v>0</v>
      </c>
      <c r="AA359" s="44">
        <f>L359-X359</f>
        <v>878.83553474999985</v>
      </c>
      <c r="AB359" s="43"/>
    </row>
    <row r="360" spans="1:28" ht="38.25">
      <c r="A360" s="61"/>
      <c r="B360" s="61"/>
      <c r="C360" s="60"/>
      <c r="D360" s="60"/>
      <c r="E360" s="58" t="s">
        <v>35</v>
      </c>
      <c r="F360" s="58" t="s">
        <v>34</v>
      </c>
      <c r="G360" s="58" t="s">
        <v>33</v>
      </c>
      <c r="H360" s="59" t="s">
        <v>32</v>
      </c>
      <c r="I360" s="58" t="s">
        <v>24</v>
      </c>
      <c r="J360" s="57">
        <f>VLOOKUP(F360,'[1]Planilha Orçamentária'!B360:J737,5,FALSE)</f>
        <v>7</v>
      </c>
      <c r="K360" s="56">
        <f>VLOOKUP(F360,'[1]Planilha Orçamentária'!B361:J737,7,FALSE)*$K$1</f>
        <v>40.304877000000005</v>
      </c>
      <c r="L360" s="55">
        <f>K360*J360</f>
        <v>282.134139</v>
      </c>
      <c r="M360" s="54">
        <f>L360/$O$8</f>
        <v>1.6858732917824119E-4</v>
      </c>
      <c r="N360" s="53"/>
      <c r="O360" s="52"/>
      <c r="P360" s="51">
        <v>7</v>
      </c>
      <c r="Q360" s="50">
        <v>44.62</v>
      </c>
      <c r="R360" s="49">
        <v>312.33999999999997</v>
      </c>
      <c r="S360" s="48">
        <v>382.52279799999997</v>
      </c>
      <c r="T360" s="45">
        <v>0</v>
      </c>
      <c r="U360" s="47">
        <f>T360*K360</f>
        <v>0</v>
      </c>
      <c r="V360" s="46"/>
      <c r="W360" s="45">
        <f>T360</f>
        <v>0</v>
      </c>
      <c r="X360" s="47">
        <f>U360</f>
        <v>0</v>
      </c>
      <c r="Y360" s="46"/>
      <c r="Z360" s="45">
        <f>T360-W360</f>
        <v>0</v>
      </c>
      <c r="AA360" s="44">
        <f>L360-X360</f>
        <v>282.134139</v>
      </c>
      <c r="AB360" s="43"/>
    </row>
    <row r="361" spans="1:28">
      <c r="A361" s="61"/>
      <c r="B361" s="61"/>
      <c r="C361" s="60"/>
      <c r="D361" s="60"/>
      <c r="E361" s="58" t="s">
        <v>31</v>
      </c>
      <c r="F361" s="58">
        <v>38774</v>
      </c>
      <c r="G361" s="58" t="s">
        <v>26</v>
      </c>
      <c r="H361" s="59" t="s">
        <v>30</v>
      </c>
      <c r="I361" s="58" t="s">
        <v>24</v>
      </c>
      <c r="J361" s="57">
        <f>VLOOKUP(F361,'[1]Planilha Orçamentária'!B361:J738,5,FALSE)</f>
        <v>24</v>
      </c>
      <c r="K361" s="56">
        <f>VLOOKUP(F361,'[1]Planilha Orçamentária'!B362:J738,7,FALSE)*$K$1</f>
        <v>9.1117679999999979</v>
      </c>
      <c r="L361" s="55">
        <f>K361*J361</f>
        <v>218.68243199999995</v>
      </c>
      <c r="M361" s="54">
        <f>L361/$O$8</f>
        <v>1.3067219472182463E-4</v>
      </c>
      <c r="N361" s="53"/>
      <c r="O361" s="52"/>
      <c r="P361" s="51">
        <v>24</v>
      </c>
      <c r="Q361" s="50">
        <v>10.050000000000001</v>
      </c>
      <c r="R361" s="49">
        <v>241.2</v>
      </c>
      <c r="S361" s="48">
        <v>295.39763999999997</v>
      </c>
      <c r="T361" s="45">
        <v>0</v>
      </c>
      <c r="U361" s="47">
        <f>T361*K361</f>
        <v>0</v>
      </c>
      <c r="V361" s="46"/>
      <c r="W361" s="45">
        <f>T361</f>
        <v>0</v>
      </c>
      <c r="X361" s="47">
        <f>U361</f>
        <v>0</v>
      </c>
      <c r="Y361" s="46"/>
      <c r="Z361" s="45">
        <f>T361-W361</f>
        <v>0</v>
      </c>
      <c r="AA361" s="44">
        <f>L361-X361</f>
        <v>218.68243199999995</v>
      </c>
      <c r="AB361" s="43"/>
    </row>
    <row r="362" spans="1:28" ht="25.5">
      <c r="A362" s="61"/>
      <c r="B362" s="61"/>
      <c r="C362" s="60"/>
      <c r="D362" s="60"/>
      <c r="E362" s="58" t="s">
        <v>29</v>
      </c>
      <c r="F362" s="58">
        <v>37539</v>
      </c>
      <c r="G362" s="58" t="s">
        <v>26</v>
      </c>
      <c r="H362" s="59" t="s">
        <v>28</v>
      </c>
      <c r="I362" s="58" t="s">
        <v>24</v>
      </c>
      <c r="J362" s="57">
        <f>VLOOKUP(F362,'[1]Planilha Orçamentária'!B362:J739,5,FALSE)</f>
        <v>49</v>
      </c>
      <c r="K362" s="56">
        <f>VLOOKUP(F362,'[1]Planilha Orçamentária'!B363:J739,7,FALSE)*$K$1</f>
        <v>22.963124999999998</v>
      </c>
      <c r="L362" s="55">
        <f>K362*J362</f>
        <v>1125.193125</v>
      </c>
      <c r="M362" s="54">
        <f>L362/$O$8</f>
        <v>6.7235147233801751E-4</v>
      </c>
      <c r="N362" s="53"/>
      <c r="O362" s="52"/>
      <c r="P362" s="51">
        <v>49</v>
      </c>
      <c r="Q362" s="50">
        <v>25</v>
      </c>
      <c r="R362" s="49">
        <v>1225</v>
      </c>
      <c r="S362" s="48">
        <v>1500.2574999999999</v>
      </c>
      <c r="T362" s="45">
        <v>0</v>
      </c>
      <c r="U362" s="47">
        <f>T362*K362</f>
        <v>0</v>
      </c>
      <c r="V362" s="46"/>
      <c r="W362" s="45">
        <f>T362</f>
        <v>0</v>
      </c>
      <c r="X362" s="47">
        <f>U362</f>
        <v>0</v>
      </c>
      <c r="Y362" s="46"/>
      <c r="Z362" s="45">
        <f>T362-W362</f>
        <v>0</v>
      </c>
      <c r="AA362" s="44">
        <f>L362-X362</f>
        <v>1125.193125</v>
      </c>
      <c r="AB362" s="43"/>
    </row>
    <row r="363" spans="1:28" ht="26.25" thickBot="1">
      <c r="A363" s="42"/>
      <c r="B363" s="42"/>
      <c r="C363" s="41"/>
      <c r="D363" s="41"/>
      <c r="E363" s="39" t="s">
        <v>27</v>
      </c>
      <c r="F363" s="39">
        <v>37556</v>
      </c>
      <c r="G363" s="39" t="s">
        <v>26</v>
      </c>
      <c r="H363" s="40" t="s">
        <v>25</v>
      </c>
      <c r="I363" s="39" t="s">
        <v>24</v>
      </c>
      <c r="J363" s="38">
        <f>VLOOKUP(F363,'[1]Planilha Orçamentária'!B363:J740,5,FALSE)</f>
        <v>7</v>
      </c>
      <c r="K363" s="37">
        <f>VLOOKUP(F363,'[1]Planilha Orçamentária'!B364:J740,7,FALSE)*$K$1</f>
        <v>26.554557750000001</v>
      </c>
      <c r="L363" s="36">
        <f>K363*J363</f>
        <v>185.88190424999999</v>
      </c>
      <c r="M363" s="35">
        <f>L363/$O$8</f>
        <v>1.1107246323024049E-4</v>
      </c>
      <c r="N363" s="34"/>
      <c r="O363" s="33"/>
      <c r="P363" s="32">
        <v>7</v>
      </c>
      <c r="Q363" s="31">
        <v>28.91</v>
      </c>
      <c r="R363" s="30">
        <v>202.37</v>
      </c>
      <c r="S363" s="29">
        <v>247.84253899999999</v>
      </c>
      <c r="T363" s="27">
        <v>0</v>
      </c>
      <c r="U363" s="26">
        <f>T363*K363</f>
        <v>0</v>
      </c>
      <c r="V363" s="28"/>
      <c r="W363" s="27">
        <f>T363</f>
        <v>0</v>
      </c>
      <c r="X363" s="26">
        <f>U363</f>
        <v>0</v>
      </c>
      <c r="Y363" s="28"/>
      <c r="Z363" s="27">
        <f>T363-W363</f>
        <v>0</v>
      </c>
      <c r="AA363" s="26">
        <f>L363-X363</f>
        <v>185.88190424999999</v>
      </c>
      <c r="AB363" s="25"/>
    </row>
    <row r="364" spans="1:28">
      <c r="N364" s="24">
        <f>SUM(N10:N363)</f>
        <v>1673520.6006387498</v>
      </c>
      <c r="O364" s="23">
        <f>SUM(O10:O363)</f>
        <v>1.0000008130403983</v>
      </c>
    </row>
    <row r="365" spans="1:28">
      <c r="L365" s="18">
        <f>SUM(L10:L363)</f>
        <v>1673520.6006387519</v>
      </c>
      <c r="M365" s="18"/>
      <c r="S365" s="22">
        <f>SUM(S10:S363)</f>
        <v>2240004.7987690005</v>
      </c>
    </row>
    <row r="366" spans="1:28">
      <c r="L366" s="21">
        <f>'[1]Planilha Orçamentária'!J390</f>
        <v>1673519.2424999999</v>
      </c>
      <c r="M366" s="18">
        <f>L366-L365</f>
        <v>-1.3581387519370764</v>
      </c>
    </row>
  </sheetData>
  <mergeCells count="464">
    <mergeCell ref="V353:V356"/>
    <mergeCell ref="Y353:Y356"/>
    <mergeCell ref="AB353:AB356"/>
    <mergeCell ref="V357:V363"/>
    <mergeCell ref="Y357:Y363"/>
    <mergeCell ref="AB357:AB363"/>
    <mergeCell ref="V333:V334"/>
    <mergeCell ref="Y333:Y334"/>
    <mergeCell ref="AB333:AB334"/>
    <mergeCell ref="V349:V352"/>
    <mergeCell ref="Y349:Y352"/>
    <mergeCell ref="AB349:AB352"/>
    <mergeCell ref="V335:V340"/>
    <mergeCell ref="Y335:Y340"/>
    <mergeCell ref="AB335:AB340"/>
    <mergeCell ref="V341:V348"/>
    <mergeCell ref="Y341:Y348"/>
    <mergeCell ref="AB341:AB348"/>
    <mergeCell ref="V315:V316"/>
    <mergeCell ref="Y315:Y316"/>
    <mergeCell ref="AB315:AB316"/>
    <mergeCell ref="V324:V325"/>
    <mergeCell ref="Y324:Y325"/>
    <mergeCell ref="AB324:AB325"/>
    <mergeCell ref="V317:V323"/>
    <mergeCell ref="Y317:Y323"/>
    <mergeCell ref="AB317:AB323"/>
    <mergeCell ref="V329:V332"/>
    <mergeCell ref="Y329:Y332"/>
    <mergeCell ref="AB329:AB332"/>
    <mergeCell ref="V326:V328"/>
    <mergeCell ref="Y326:Y328"/>
    <mergeCell ref="AB326:AB328"/>
    <mergeCell ref="V276:V288"/>
    <mergeCell ref="Y276:Y288"/>
    <mergeCell ref="AB276:AB288"/>
    <mergeCell ref="V289:V314"/>
    <mergeCell ref="Y289:Y314"/>
    <mergeCell ref="AB289:AB314"/>
    <mergeCell ref="V251:V255"/>
    <mergeCell ref="Y251:Y255"/>
    <mergeCell ref="AB251:AB255"/>
    <mergeCell ref="V259:V275"/>
    <mergeCell ref="Y259:Y275"/>
    <mergeCell ref="AB259:AB275"/>
    <mergeCell ref="Y200:Y237"/>
    <mergeCell ref="V200:V237"/>
    <mergeCell ref="V238:V240"/>
    <mergeCell ref="Y238:Y240"/>
    <mergeCell ref="AB238:AB240"/>
    <mergeCell ref="V241:V250"/>
    <mergeCell ref="Y241:Y250"/>
    <mergeCell ref="AB241:AB250"/>
    <mergeCell ref="V140:V142"/>
    <mergeCell ref="Y140:Y142"/>
    <mergeCell ref="AB140:AB142"/>
    <mergeCell ref="V256:V258"/>
    <mergeCell ref="Y256:Y258"/>
    <mergeCell ref="AB256:AB258"/>
    <mergeCell ref="V179:V199"/>
    <mergeCell ref="Y179:Y199"/>
    <mergeCell ref="AB179:AB199"/>
    <mergeCell ref="AB200:AB237"/>
    <mergeCell ref="V131:V136"/>
    <mergeCell ref="Y131:Y136"/>
    <mergeCell ref="AB131:AB136"/>
    <mergeCell ref="V137:V139"/>
    <mergeCell ref="Y137:Y139"/>
    <mergeCell ref="AB137:AB139"/>
    <mergeCell ref="AB148:AB178"/>
    <mergeCell ref="Y148:Y178"/>
    <mergeCell ref="V148:V178"/>
    <mergeCell ref="V144:V147"/>
    <mergeCell ref="Y144:Y147"/>
    <mergeCell ref="AB144:AB147"/>
    <mergeCell ref="V125:V130"/>
    <mergeCell ref="Y125:Y130"/>
    <mergeCell ref="AB125:AB130"/>
    <mergeCell ref="V107:V111"/>
    <mergeCell ref="Y107:Y111"/>
    <mergeCell ref="AB107:AB111"/>
    <mergeCell ref="V112:V114"/>
    <mergeCell ref="Y112:Y114"/>
    <mergeCell ref="AB112:AB114"/>
    <mergeCell ref="V115:V119"/>
    <mergeCell ref="V101:V105"/>
    <mergeCell ref="Y101:Y105"/>
    <mergeCell ref="AB101:AB105"/>
    <mergeCell ref="V120:V124"/>
    <mergeCell ref="Y120:Y124"/>
    <mergeCell ref="AB120:AB124"/>
    <mergeCell ref="Y115:Y119"/>
    <mergeCell ref="AB115:AB119"/>
    <mergeCell ref="V95:V97"/>
    <mergeCell ref="Y95:Y97"/>
    <mergeCell ref="AB95:AB97"/>
    <mergeCell ref="V98:V100"/>
    <mergeCell ref="Y98:Y100"/>
    <mergeCell ref="AB98:AB100"/>
    <mergeCell ref="V61:V64"/>
    <mergeCell ref="Y61:Y64"/>
    <mergeCell ref="AB61:AB64"/>
    <mergeCell ref="V65:V73"/>
    <mergeCell ref="Y65:Y73"/>
    <mergeCell ref="AB65:AB73"/>
    <mergeCell ref="V74:V87"/>
    <mergeCell ref="Y74:Y87"/>
    <mergeCell ref="AB74:AB87"/>
    <mergeCell ref="V88:V94"/>
    <mergeCell ref="Y88:Y94"/>
    <mergeCell ref="AB88:AB94"/>
    <mergeCell ref="V51:V53"/>
    <mergeCell ref="Y51:Y53"/>
    <mergeCell ref="AB51:AB53"/>
    <mergeCell ref="V54:V60"/>
    <mergeCell ref="Y54:Y60"/>
    <mergeCell ref="AB54:AB60"/>
    <mergeCell ref="V37:V43"/>
    <mergeCell ref="Y37:Y43"/>
    <mergeCell ref="AB37:AB43"/>
    <mergeCell ref="V44:V50"/>
    <mergeCell ref="Y44:Y50"/>
    <mergeCell ref="AB44:AB50"/>
    <mergeCell ref="AB18:AB19"/>
    <mergeCell ref="V29:V32"/>
    <mergeCell ref="Y29:Y32"/>
    <mergeCell ref="AB29:AB32"/>
    <mergeCell ref="V33:V36"/>
    <mergeCell ref="Y33:Y36"/>
    <mergeCell ref="AB33:AB36"/>
    <mergeCell ref="AB20:AB24"/>
    <mergeCell ref="V25:V28"/>
    <mergeCell ref="Y25:Y28"/>
    <mergeCell ref="AB25:AB28"/>
    <mergeCell ref="V13:V14"/>
    <mergeCell ref="Y13:Y14"/>
    <mergeCell ref="AB13:AB14"/>
    <mergeCell ref="V15:V17"/>
    <mergeCell ref="Y15:Y17"/>
    <mergeCell ref="AB15:AB17"/>
    <mergeCell ref="T6:T8"/>
    <mergeCell ref="W6:W8"/>
    <mergeCell ref="X6:X8"/>
    <mergeCell ref="D10:D12"/>
    <mergeCell ref="V20:V24"/>
    <mergeCell ref="Y20:Y24"/>
    <mergeCell ref="V18:V19"/>
    <mergeCell ref="Y18:Y19"/>
    <mergeCell ref="Y10:Y12"/>
    <mergeCell ref="U4:V5"/>
    <mergeCell ref="U6:V8"/>
    <mergeCell ref="Y4:Z5"/>
    <mergeCell ref="Y6:Z8"/>
    <mergeCell ref="W3:AB3"/>
    <mergeCell ref="AA4:AB5"/>
    <mergeCell ref="AA6:AB8"/>
    <mergeCell ref="T3:V3"/>
    <mergeCell ref="AB10:AB12"/>
    <mergeCell ref="A4:O6"/>
    <mergeCell ref="A7:C7"/>
    <mergeCell ref="D7:H7"/>
    <mergeCell ref="I7:L7"/>
    <mergeCell ref="A2:H3"/>
    <mergeCell ref="V10:V12"/>
    <mergeCell ref="T2:AB2"/>
    <mergeCell ref="T4:T5"/>
    <mergeCell ref="W4:W5"/>
    <mergeCell ref="X4:X5"/>
    <mergeCell ref="A25:A28"/>
    <mergeCell ref="C25:C28"/>
    <mergeCell ref="D25:D28"/>
    <mergeCell ref="A29:A32"/>
    <mergeCell ref="C29:C32"/>
    <mergeCell ref="D29:D32"/>
    <mergeCell ref="B25:B28"/>
    <mergeCell ref="B29:B32"/>
    <mergeCell ref="A33:A36"/>
    <mergeCell ref="C33:C36"/>
    <mergeCell ref="D33:D36"/>
    <mergeCell ref="A37:A43"/>
    <mergeCell ref="C37:C43"/>
    <mergeCell ref="D37:D43"/>
    <mergeCell ref="B33:B36"/>
    <mergeCell ref="B37:B43"/>
    <mergeCell ref="A44:A50"/>
    <mergeCell ref="C44:C50"/>
    <mergeCell ref="D44:D50"/>
    <mergeCell ref="A51:A53"/>
    <mergeCell ref="C51:C53"/>
    <mergeCell ref="D51:D53"/>
    <mergeCell ref="B44:B50"/>
    <mergeCell ref="B51:B53"/>
    <mergeCell ref="A54:A60"/>
    <mergeCell ref="C54:C60"/>
    <mergeCell ref="D54:D60"/>
    <mergeCell ref="A61:A64"/>
    <mergeCell ref="C61:C64"/>
    <mergeCell ref="D61:D64"/>
    <mergeCell ref="B54:B60"/>
    <mergeCell ref="B61:B64"/>
    <mergeCell ref="A65:A73"/>
    <mergeCell ref="C65:C73"/>
    <mergeCell ref="D65:D73"/>
    <mergeCell ref="A74:A87"/>
    <mergeCell ref="C74:C87"/>
    <mergeCell ref="D74:D87"/>
    <mergeCell ref="B65:B73"/>
    <mergeCell ref="B74:B87"/>
    <mergeCell ref="A88:A94"/>
    <mergeCell ref="C88:C94"/>
    <mergeCell ref="D88:D94"/>
    <mergeCell ref="A95:A97"/>
    <mergeCell ref="C95:C97"/>
    <mergeCell ref="D95:D97"/>
    <mergeCell ref="B88:B94"/>
    <mergeCell ref="B95:B97"/>
    <mergeCell ref="A98:A100"/>
    <mergeCell ref="C98:C100"/>
    <mergeCell ref="D98:D100"/>
    <mergeCell ref="A101:A105"/>
    <mergeCell ref="C101:C105"/>
    <mergeCell ref="D101:D105"/>
    <mergeCell ref="B98:B100"/>
    <mergeCell ref="B101:B105"/>
    <mergeCell ref="A107:A111"/>
    <mergeCell ref="C107:C111"/>
    <mergeCell ref="D107:D111"/>
    <mergeCell ref="A112:A114"/>
    <mergeCell ref="C112:C114"/>
    <mergeCell ref="D112:D114"/>
    <mergeCell ref="B107:B111"/>
    <mergeCell ref="B112:B114"/>
    <mergeCell ref="A115:A119"/>
    <mergeCell ref="C115:C119"/>
    <mergeCell ref="D115:D119"/>
    <mergeCell ref="A120:A124"/>
    <mergeCell ref="C120:C124"/>
    <mergeCell ref="D120:D124"/>
    <mergeCell ref="B115:B119"/>
    <mergeCell ref="B120:B124"/>
    <mergeCell ref="A125:A130"/>
    <mergeCell ref="C125:C130"/>
    <mergeCell ref="D125:D130"/>
    <mergeCell ref="A131:A136"/>
    <mergeCell ref="C131:C136"/>
    <mergeCell ref="D131:D136"/>
    <mergeCell ref="B125:B130"/>
    <mergeCell ref="B131:B136"/>
    <mergeCell ref="A137:A139"/>
    <mergeCell ref="C137:C139"/>
    <mergeCell ref="D137:D139"/>
    <mergeCell ref="A140:A142"/>
    <mergeCell ref="C140:C142"/>
    <mergeCell ref="D140:D142"/>
    <mergeCell ref="B137:B139"/>
    <mergeCell ref="B140:B142"/>
    <mergeCell ref="A144:A147"/>
    <mergeCell ref="C144:C147"/>
    <mergeCell ref="D144:D147"/>
    <mergeCell ref="A148:A178"/>
    <mergeCell ref="C148:C178"/>
    <mergeCell ref="D148:D178"/>
    <mergeCell ref="B144:B147"/>
    <mergeCell ref="B148:B178"/>
    <mergeCell ref="A179:A199"/>
    <mergeCell ref="C179:C199"/>
    <mergeCell ref="D179:D199"/>
    <mergeCell ref="A200:A237"/>
    <mergeCell ref="C200:C237"/>
    <mergeCell ref="D200:D237"/>
    <mergeCell ref="B179:B199"/>
    <mergeCell ref="B200:B237"/>
    <mergeCell ref="A238:A240"/>
    <mergeCell ref="C238:C240"/>
    <mergeCell ref="D238:D240"/>
    <mergeCell ref="A241:A250"/>
    <mergeCell ref="C241:C250"/>
    <mergeCell ref="D241:D250"/>
    <mergeCell ref="B238:B240"/>
    <mergeCell ref="B241:B250"/>
    <mergeCell ref="A251:A255"/>
    <mergeCell ref="C251:C255"/>
    <mergeCell ref="D251:D255"/>
    <mergeCell ref="A256:A258"/>
    <mergeCell ref="C256:C258"/>
    <mergeCell ref="D256:D258"/>
    <mergeCell ref="B251:B255"/>
    <mergeCell ref="B256:B258"/>
    <mergeCell ref="A259:A275"/>
    <mergeCell ref="C259:C275"/>
    <mergeCell ref="D259:D275"/>
    <mergeCell ref="A276:A288"/>
    <mergeCell ref="C276:C288"/>
    <mergeCell ref="D276:D288"/>
    <mergeCell ref="B259:B275"/>
    <mergeCell ref="B276:B288"/>
    <mergeCell ref="A289:A314"/>
    <mergeCell ref="C289:C314"/>
    <mergeCell ref="D289:D314"/>
    <mergeCell ref="A315:A316"/>
    <mergeCell ref="C315:C316"/>
    <mergeCell ref="D315:D316"/>
    <mergeCell ref="B289:B314"/>
    <mergeCell ref="B315:B316"/>
    <mergeCell ref="A317:A323"/>
    <mergeCell ref="C317:C323"/>
    <mergeCell ref="D317:D323"/>
    <mergeCell ref="A324:A325"/>
    <mergeCell ref="C324:C325"/>
    <mergeCell ref="D324:D325"/>
    <mergeCell ref="B317:B323"/>
    <mergeCell ref="B324:B325"/>
    <mergeCell ref="A326:A328"/>
    <mergeCell ref="C326:C328"/>
    <mergeCell ref="D326:D328"/>
    <mergeCell ref="A329:A332"/>
    <mergeCell ref="C329:C332"/>
    <mergeCell ref="D329:D332"/>
    <mergeCell ref="B326:B328"/>
    <mergeCell ref="B329:B332"/>
    <mergeCell ref="B349:B352"/>
    <mergeCell ref="A333:A334"/>
    <mergeCell ref="C333:C334"/>
    <mergeCell ref="D333:D334"/>
    <mergeCell ref="A335:A340"/>
    <mergeCell ref="C335:C340"/>
    <mergeCell ref="D335:D340"/>
    <mergeCell ref="B333:B334"/>
    <mergeCell ref="B335:B340"/>
    <mergeCell ref="A357:A363"/>
    <mergeCell ref="C357:C363"/>
    <mergeCell ref="D357:D363"/>
    <mergeCell ref="B353:B356"/>
    <mergeCell ref="B357:B363"/>
    <mergeCell ref="A341:A348"/>
    <mergeCell ref="C341:C348"/>
    <mergeCell ref="D341:D348"/>
    <mergeCell ref="A349:A352"/>
    <mergeCell ref="C349:C352"/>
    <mergeCell ref="O10:O12"/>
    <mergeCell ref="O13:O14"/>
    <mergeCell ref="N13:N14"/>
    <mergeCell ref="N15:N17"/>
    <mergeCell ref="O15:O17"/>
    <mergeCell ref="A353:A356"/>
    <mergeCell ref="C353:C356"/>
    <mergeCell ref="D353:D356"/>
    <mergeCell ref="D349:D352"/>
    <mergeCell ref="B341:B348"/>
    <mergeCell ref="O25:O28"/>
    <mergeCell ref="N25:N28"/>
    <mergeCell ref="N29:N32"/>
    <mergeCell ref="O29:O32"/>
    <mergeCell ref="I8:N8"/>
    <mergeCell ref="N18:N19"/>
    <mergeCell ref="O18:O19"/>
    <mergeCell ref="O20:O24"/>
    <mergeCell ref="N20:N24"/>
    <mergeCell ref="N10:N12"/>
    <mergeCell ref="O44:O50"/>
    <mergeCell ref="N44:N50"/>
    <mergeCell ref="N51:N53"/>
    <mergeCell ref="O51:O53"/>
    <mergeCell ref="N33:N36"/>
    <mergeCell ref="O33:O36"/>
    <mergeCell ref="O37:O43"/>
    <mergeCell ref="N37:N43"/>
    <mergeCell ref="N54:N60"/>
    <mergeCell ref="O54:O60"/>
    <mergeCell ref="N61:N64"/>
    <mergeCell ref="O61:O64"/>
    <mergeCell ref="O65:O73"/>
    <mergeCell ref="N65:N73"/>
    <mergeCell ref="N98:N100"/>
    <mergeCell ref="O98:O100"/>
    <mergeCell ref="O101:O105"/>
    <mergeCell ref="N101:N105"/>
    <mergeCell ref="O74:O87"/>
    <mergeCell ref="N74:N87"/>
    <mergeCell ref="N88:N94"/>
    <mergeCell ref="O88:O94"/>
    <mergeCell ref="N95:N97"/>
    <mergeCell ref="O95:O97"/>
    <mergeCell ref="N107:N111"/>
    <mergeCell ref="O107:O111"/>
    <mergeCell ref="N115:N119"/>
    <mergeCell ref="O115:O119"/>
    <mergeCell ref="N112:N114"/>
    <mergeCell ref="O112:O114"/>
    <mergeCell ref="O131:O136"/>
    <mergeCell ref="N131:N136"/>
    <mergeCell ref="N137:N139"/>
    <mergeCell ref="O137:O139"/>
    <mergeCell ref="N120:N124"/>
    <mergeCell ref="O120:O124"/>
    <mergeCell ref="O125:O130"/>
    <mergeCell ref="N125:N130"/>
    <mergeCell ref="O148:O178"/>
    <mergeCell ref="N148:N178"/>
    <mergeCell ref="O179:O199"/>
    <mergeCell ref="N179:N199"/>
    <mergeCell ref="N140:N142"/>
    <mergeCell ref="O140:O142"/>
    <mergeCell ref="O144:O147"/>
    <mergeCell ref="N144:N147"/>
    <mergeCell ref="O241:O250"/>
    <mergeCell ref="N241:N250"/>
    <mergeCell ref="O251:O255"/>
    <mergeCell ref="N251:N255"/>
    <mergeCell ref="O200:O237"/>
    <mergeCell ref="N200:N237"/>
    <mergeCell ref="N238:N240"/>
    <mergeCell ref="O238:O240"/>
    <mergeCell ref="O276:O288"/>
    <mergeCell ref="N276:N288"/>
    <mergeCell ref="O289:O314"/>
    <mergeCell ref="N289:N314"/>
    <mergeCell ref="N256:N258"/>
    <mergeCell ref="O256:O258"/>
    <mergeCell ref="O259:O275"/>
    <mergeCell ref="N259:N275"/>
    <mergeCell ref="N315:N316"/>
    <mergeCell ref="O315:O316"/>
    <mergeCell ref="O317:O323"/>
    <mergeCell ref="N317:N323"/>
    <mergeCell ref="N324:N325"/>
    <mergeCell ref="O324:O325"/>
    <mergeCell ref="O335:O340"/>
    <mergeCell ref="N335:N340"/>
    <mergeCell ref="N333:N334"/>
    <mergeCell ref="O333:O334"/>
    <mergeCell ref="O326:O328"/>
    <mergeCell ref="N326:N328"/>
    <mergeCell ref="O329:O332"/>
    <mergeCell ref="N329:N332"/>
    <mergeCell ref="A10:A12"/>
    <mergeCell ref="C10:C12"/>
    <mergeCell ref="N353:N356"/>
    <mergeCell ref="O353:O356"/>
    <mergeCell ref="O357:O363"/>
    <mergeCell ref="N357:N363"/>
    <mergeCell ref="O341:O348"/>
    <mergeCell ref="N341:N348"/>
    <mergeCell ref="N349:N352"/>
    <mergeCell ref="O349:O352"/>
    <mergeCell ref="A20:A24"/>
    <mergeCell ref="C20:C24"/>
    <mergeCell ref="D20:D24"/>
    <mergeCell ref="A13:A14"/>
    <mergeCell ref="C13:C14"/>
    <mergeCell ref="D13:D14"/>
    <mergeCell ref="A15:A17"/>
    <mergeCell ref="C15:C17"/>
    <mergeCell ref="D15:D17"/>
    <mergeCell ref="D8:H8"/>
    <mergeCell ref="B10:B12"/>
    <mergeCell ref="B13:B14"/>
    <mergeCell ref="B15:B17"/>
    <mergeCell ref="B18:B19"/>
    <mergeCell ref="B20:B24"/>
    <mergeCell ref="A8:C8"/>
    <mergeCell ref="A18:A19"/>
    <mergeCell ref="C18:C19"/>
    <mergeCell ref="D18:D19"/>
  </mergeCells>
  <conditionalFormatting sqref="E10:E363">
    <cfRule type="duplicateValues" dxfId="1" priority="2"/>
  </conditionalFormatting>
  <conditionalFormatting sqref="T9:AB9">
    <cfRule type="cellIs" dxfId="0" priority="1" stopIfTrue="1" operator="equal">
      <formula>0</formula>
    </cfRule>
  </conditionalFormatting>
  <printOptions horizontalCentered="1"/>
  <pageMargins left="0.23622047244094491" right="0.23622047244094491" top="0.35433070866141736" bottom="0.74803149606299213" header="0.31496062992125984" footer="0.31496062992125984"/>
  <pageSetup paperSize="9" scale="2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Obras em andamento</vt:lpstr>
      <vt:lpstr>Proposta Marenge - S.P Aldeia</vt:lpstr>
      <vt:lpstr>1ª Medição - Marenge</vt:lpstr>
      <vt:lpstr>'1ª Medição - Marenge'!Titulos_de_impressao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Breno Ricardo Catrinck Afonso De Carvalho</dc:creator>
  <cp:lastModifiedBy>Ariane Esteves Saurine</cp:lastModifiedBy>
  <cp:lastPrinted>2024-07-10T14:27:57Z</cp:lastPrinted>
  <dcterms:created xsi:type="dcterms:W3CDTF">2024-05-27T15:12:26Z</dcterms:created>
  <dcterms:modified xsi:type="dcterms:W3CDTF">2026-09-28T23:05:34Z</dcterms:modified>
</cp:coreProperties>
</file>